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1835" tabRatio="601" activeTab="4"/>
  </bookViews>
  <sheets>
    <sheet name="I rok" sheetId="4" r:id="rId1"/>
    <sheet name="II rok" sheetId="8" r:id="rId2"/>
    <sheet name="III rok" sheetId="9" r:id="rId3"/>
    <sheet name="IV rok" sheetId="10" r:id="rId4"/>
    <sheet name="V rok" sheetId="11" r:id="rId5"/>
    <sheet name="VI rok" sheetId="21" r:id="rId6"/>
    <sheet name="RAZEM" sheetId="14" state="hidden" r:id="rId7"/>
    <sheet name=" razem plan" sheetId="18" r:id="rId8"/>
    <sheet name="FAKULTETY " sheetId="20" r:id="rId9"/>
    <sheet name="KRAUM" sheetId="16" state="hidden" r:id="rId10"/>
    <sheet name="FAKULTETY" sheetId="5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Toc382231539" localSheetId="9">KRAUM!$N$142</definedName>
    <definedName name="_Toc382231550" localSheetId="9">KRAUM!$B$111</definedName>
    <definedName name="_Toc382231561" localSheetId="9">KRAUM!$B$62</definedName>
    <definedName name="_xlnm.Print_Area" localSheetId="7">' razem plan'!$A$1:$K$129</definedName>
    <definedName name="_xlnm.Print_Area" localSheetId="0">'I rok'!$A$1:$AE$59</definedName>
    <definedName name="_xlnm.Print_Area" localSheetId="1">'II rok'!$A$1:$AE$69</definedName>
    <definedName name="_xlnm.Print_Area" localSheetId="2">'III rok'!$A$1:$AE$57</definedName>
    <definedName name="_xlnm.Print_Area" localSheetId="3">'IV rok'!$A$1:$AE$56</definedName>
    <definedName name="_xlnm.Print_Area" localSheetId="4">'V rok'!$A$1:$AE$73</definedName>
    <definedName name="_xlnm.Print_Titles" localSheetId="10">FAKULTETY!$3:$6</definedName>
    <definedName name="_xlnm.Print_Titles" localSheetId="8">'FAKULTETY '!$3:$6</definedName>
    <definedName name="_xlnm.Print_Titles" localSheetId="0">'I rok'!$5:$9</definedName>
    <definedName name="_xlnm.Print_Titles" localSheetId="1">'II rok'!$5:$9</definedName>
    <definedName name="_xlnm.Print_Titles" localSheetId="2">'III rok'!$5:$9</definedName>
    <definedName name="_xlnm.Print_Titles" localSheetId="3">'IV rok'!$6:$9</definedName>
    <definedName name="_xlnm.Print_Titles" localSheetId="6">RAZEM!$4:$4</definedName>
    <definedName name="_xlnm.Print_Titles" localSheetId="4">'V rok'!$6:$9</definedName>
  </definedNames>
  <calcPr calcId="145621" refMode="R1C1"/>
</workbook>
</file>

<file path=xl/calcChain.xml><?xml version="1.0" encoding="utf-8"?>
<calcChain xmlns="http://schemas.openxmlformats.org/spreadsheetml/2006/main">
  <c r="AE73" i="11" l="1"/>
  <c r="AD73" i="11"/>
  <c r="AC73" i="11"/>
  <c r="AB73" i="11"/>
  <c r="AA73" i="11"/>
  <c r="Z73" i="11"/>
  <c r="Y73" i="11"/>
  <c r="C73" i="11"/>
  <c r="AE72" i="11"/>
  <c r="AD72" i="11"/>
  <c r="AC72" i="11"/>
  <c r="AB72" i="11"/>
  <c r="Y72" i="11" s="1"/>
  <c r="AA72" i="11"/>
  <c r="Z72" i="11"/>
  <c r="AE71" i="11"/>
  <c r="AD71" i="11"/>
  <c r="AC71" i="11"/>
  <c r="AB71" i="11"/>
  <c r="AA71" i="11"/>
  <c r="Z71" i="11"/>
  <c r="Y71" i="11"/>
  <c r="C71" i="11"/>
  <c r="AE70" i="11"/>
  <c r="AD70" i="11"/>
  <c r="AC70" i="11"/>
  <c r="AB70" i="11"/>
  <c r="AA70" i="11"/>
  <c r="Z70" i="11"/>
  <c r="Y70" i="11"/>
  <c r="C70" i="11"/>
  <c r="AE69" i="11"/>
  <c r="AD69" i="11"/>
  <c r="AC69" i="11"/>
  <c r="AB69" i="11"/>
  <c r="AA69" i="11"/>
  <c r="Z69" i="11"/>
  <c r="Y69" i="11"/>
  <c r="C69" i="11"/>
  <c r="AE68" i="11"/>
  <c r="AD68" i="11"/>
  <c r="AA68" i="11"/>
  <c r="Z68" i="11"/>
  <c r="Y68" i="11"/>
  <c r="C68" i="11"/>
  <c r="AE67" i="11"/>
  <c r="AD67" i="11"/>
  <c r="AC67" i="11"/>
  <c r="AB67" i="11"/>
  <c r="AA67" i="11"/>
  <c r="Z67" i="11"/>
  <c r="Y67" i="11"/>
  <c r="C67" i="11"/>
  <c r="AE66" i="11"/>
  <c r="AD66" i="11"/>
  <c r="AC66" i="11"/>
  <c r="AB66" i="11"/>
  <c r="AA66" i="11"/>
  <c r="Z66" i="11"/>
  <c r="Y66" i="11"/>
  <c r="C66" i="11"/>
  <c r="AE65" i="11"/>
  <c r="AD65" i="11"/>
  <c r="AC65" i="11"/>
  <c r="AB65" i="11"/>
  <c r="AA65" i="11"/>
  <c r="Z65" i="11"/>
  <c r="Y65" i="11"/>
  <c r="C65" i="11"/>
  <c r="AE64" i="11"/>
  <c r="AD64" i="11"/>
  <c r="AC64" i="11"/>
  <c r="AB64" i="11"/>
  <c r="AA64" i="11"/>
  <c r="Z64" i="11"/>
  <c r="Y64" i="11"/>
  <c r="C64" i="11"/>
  <c r="AE63" i="11"/>
  <c r="AD63" i="11"/>
  <c r="AC63" i="11"/>
  <c r="AB63" i="11"/>
  <c r="AA63" i="11"/>
  <c r="Z63" i="11"/>
  <c r="Y63" i="11"/>
  <c r="C63" i="11"/>
  <c r="AE62" i="11"/>
  <c r="AD62" i="11"/>
  <c r="AC62" i="11"/>
  <c r="AB62" i="11"/>
  <c r="AA62" i="11"/>
  <c r="Z62" i="11"/>
  <c r="Y62" i="11"/>
  <c r="C62" i="11"/>
  <c r="AE61" i="11"/>
  <c r="AD61" i="11"/>
  <c r="AC61" i="11"/>
  <c r="AB61" i="11"/>
  <c r="AA61" i="11"/>
  <c r="Z61" i="11"/>
  <c r="Y61" i="11"/>
  <c r="C61" i="11"/>
  <c r="AE60" i="11"/>
  <c r="AD60" i="11"/>
  <c r="AC60" i="11"/>
  <c r="AB60" i="11"/>
  <c r="AA60" i="11"/>
  <c r="Z60" i="11"/>
  <c r="Y60" i="11"/>
  <c r="C60" i="11"/>
  <c r="AE59" i="11"/>
  <c r="AD59" i="11"/>
  <c r="AC59" i="11"/>
  <c r="AB59" i="11"/>
  <c r="AA59" i="11"/>
  <c r="Z59" i="11"/>
  <c r="Y59" i="11"/>
  <c r="C59" i="11"/>
  <c r="AE58" i="11"/>
  <c r="AD58" i="11"/>
  <c r="AC58" i="11"/>
  <c r="AB58" i="11"/>
  <c r="AA58" i="11"/>
  <c r="Z58" i="11"/>
  <c r="Y58" i="11"/>
  <c r="C58" i="11"/>
  <c r="AE57" i="11"/>
  <c r="AD57" i="11"/>
  <c r="AC57" i="11"/>
  <c r="AB57" i="11"/>
  <c r="AA57" i="11"/>
  <c r="Z57" i="11"/>
  <c r="Y57" i="11"/>
  <c r="C57" i="11"/>
  <c r="AE56" i="11"/>
  <c r="AD56" i="11"/>
  <c r="AC56" i="11"/>
  <c r="AB56" i="11"/>
  <c r="AA56" i="11"/>
  <c r="Z56" i="11"/>
  <c r="Y56" i="11"/>
  <c r="C56" i="11"/>
  <c r="AE55" i="11"/>
  <c r="AD55" i="11"/>
  <c r="AC55" i="11"/>
  <c r="AB55" i="11"/>
  <c r="AA55" i="11"/>
  <c r="Z55" i="11"/>
  <c r="Y55" i="11"/>
  <c r="C55" i="11"/>
  <c r="AE54" i="11"/>
  <c r="AD54" i="11"/>
  <c r="AC54" i="11"/>
  <c r="AB54" i="11"/>
  <c r="AA54" i="11"/>
  <c r="Z54" i="11"/>
  <c r="Y54" i="11"/>
  <c r="C54" i="11"/>
  <c r="AE53" i="11"/>
  <c r="AD53" i="11"/>
  <c r="AC53" i="11"/>
  <c r="AB53" i="11"/>
  <c r="AA53" i="11"/>
  <c r="Z53" i="11"/>
  <c r="Y53" i="11"/>
  <c r="C53" i="11"/>
  <c r="AE52" i="11"/>
  <c r="AD52" i="11"/>
  <c r="AC52" i="11"/>
  <c r="AB52" i="11"/>
  <c r="AA52" i="11"/>
  <c r="Z52" i="11"/>
  <c r="Y52" i="11"/>
  <c r="C52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AE47" i="11"/>
  <c r="AD47" i="11"/>
  <c r="AC47" i="11"/>
  <c r="AB47" i="11"/>
  <c r="AA47" i="11"/>
  <c r="Z47" i="11"/>
  <c r="Y47" i="11" s="1"/>
  <c r="AE46" i="11"/>
  <c r="AD46" i="11"/>
  <c r="AC46" i="11"/>
  <c r="AC48" i="11" s="1"/>
  <c r="AB46" i="11"/>
  <c r="AA46" i="11"/>
  <c r="Z46" i="11"/>
  <c r="Y46" i="11"/>
  <c r="AE45" i="11"/>
  <c r="AD45" i="11"/>
  <c r="AD48" i="11" s="1"/>
  <c r="AC45" i="11"/>
  <c r="AB45" i="11"/>
  <c r="Y45" i="11" s="1"/>
  <c r="AA45" i="11"/>
  <c r="Z45" i="11"/>
  <c r="Z48" i="11" s="1"/>
  <c r="AE44" i="11"/>
  <c r="AE48" i="11" s="1"/>
  <c r="AD44" i="11"/>
  <c r="AC44" i="11"/>
  <c r="AB44" i="11"/>
  <c r="AB48" i="11" s="1"/>
  <c r="AA44" i="11"/>
  <c r="AA48" i="11" s="1"/>
  <c r="Z44" i="11"/>
  <c r="AD42" i="11"/>
  <c r="Z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AE41" i="11"/>
  <c r="AE42" i="11" s="1"/>
  <c r="AD41" i="11"/>
  <c r="AC41" i="11"/>
  <c r="AC42" i="11" s="1"/>
  <c r="AB41" i="11"/>
  <c r="AB42" i="11" s="1"/>
  <c r="AA41" i="11"/>
  <c r="Y41" i="11" s="1"/>
  <c r="Y42" i="11" s="1"/>
  <c r="Z41" i="11"/>
  <c r="C41" i="11"/>
  <c r="AE39" i="11"/>
  <c r="AA39" i="11"/>
  <c r="X39" i="11"/>
  <c r="X49" i="11" s="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AE38" i="11"/>
  <c r="AD38" i="11"/>
  <c r="AC38" i="11"/>
  <c r="AB38" i="11"/>
  <c r="Y38" i="11" s="1"/>
  <c r="AA38" i="11"/>
  <c r="Z38" i="11"/>
  <c r="C38" i="11"/>
  <c r="AE37" i="11"/>
  <c r="AD37" i="11"/>
  <c r="AD39" i="11" s="1"/>
  <c r="AC37" i="11"/>
  <c r="AC39" i="11" s="1"/>
  <c r="AB37" i="11"/>
  <c r="AB39" i="11" s="1"/>
  <c r="AA37" i="11"/>
  <c r="Z37" i="11"/>
  <c r="Z39" i="11" s="1"/>
  <c r="C37" i="11"/>
  <c r="AB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AE34" i="11"/>
  <c r="AD34" i="11"/>
  <c r="AC34" i="11"/>
  <c r="AB34" i="11"/>
  <c r="AA34" i="11"/>
  <c r="Z34" i="11"/>
  <c r="Y34" i="11"/>
  <c r="C34" i="11"/>
  <c r="AE33" i="11"/>
  <c r="AE35" i="11" s="1"/>
  <c r="AD33" i="11"/>
  <c r="AD35" i="11" s="1"/>
  <c r="AC33" i="11"/>
  <c r="AC35" i="11" s="1"/>
  <c r="AB33" i="11"/>
  <c r="AA33" i="11"/>
  <c r="AA35" i="11" s="1"/>
  <c r="Z33" i="11"/>
  <c r="Z35" i="11" s="1"/>
  <c r="Y33" i="11"/>
  <c r="Y35" i="11" s="1"/>
  <c r="C33" i="11"/>
  <c r="AC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AE30" i="11"/>
  <c r="AD30" i="11"/>
  <c r="AC30" i="11"/>
  <c r="AB30" i="11"/>
  <c r="AA30" i="11"/>
  <c r="Z30" i="11"/>
  <c r="Y30" i="11" s="1"/>
  <c r="C30" i="11"/>
  <c r="AE29" i="11"/>
  <c r="AD29" i="11"/>
  <c r="AC29" i="11"/>
  <c r="AB29" i="11"/>
  <c r="AA29" i="11"/>
  <c r="Z29" i="11"/>
  <c r="Y29" i="11" s="1"/>
  <c r="C29" i="11"/>
  <c r="AE28" i="11"/>
  <c r="AD28" i="11"/>
  <c r="AC28" i="11"/>
  <c r="AB28" i="11"/>
  <c r="AA28" i="11"/>
  <c r="Z28" i="11"/>
  <c r="Y28" i="11" s="1"/>
  <c r="C28" i="11"/>
  <c r="AE27" i="11"/>
  <c r="AD27" i="11"/>
  <c r="AC27" i="11"/>
  <c r="AB27" i="11"/>
  <c r="AA27" i="11"/>
  <c r="Z27" i="11"/>
  <c r="Y27" i="11" s="1"/>
  <c r="C27" i="11"/>
  <c r="AE26" i="11"/>
  <c r="AD26" i="11"/>
  <c r="AC26" i="11"/>
  <c r="AB26" i="11"/>
  <c r="AA26" i="11"/>
  <c r="Z26" i="11"/>
  <c r="Y26" i="11" s="1"/>
  <c r="C26" i="11"/>
  <c r="AE25" i="11"/>
  <c r="AD25" i="11"/>
  <c r="AC25" i="11"/>
  <c r="AB25" i="11"/>
  <c r="AA25" i="11"/>
  <c r="Z25" i="11"/>
  <c r="Y25" i="11" s="1"/>
  <c r="C25" i="11"/>
  <c r="AE24" i="11"/>
  <c r="AD24" i="11"/>
  <c r="AC24" i="11"/>
  <c r="AB24" i="11"/>
  <c r="AA24" i="11"/>
  <c r="Z24" i="11"/>
  <c r="Y24" i="11" s="1"/>
  <c r="C24" i="11"/>
  <c r="AE23" i="11"/>
  <c r="AD23" i="11"/>
  <c r="AC23" i="11"/>
  <c r="AB23" i="11"/>
  <c r="AA23" i="11"/>
  <c r="Z23" i="11"/>
  <c r="Y23" i="11" s="1"/>
  <c r="C23" i="11"/>
  <c r="AE22" i="11"/>
  <c r="AD22" i="11"/>
  <c r="AC22" i="11"/>
  <c r="AB22" i="11"/>
  <c r="AA22" i="11"/>
  <c r="Z22" i="11"/>
  <c r="Y22" i="11" s="1"/>
  <c r="C22" i="11"/>
  <c r="AE21" i="11"/>
  <c r="AD21" i="11"/>
  <c r="AC21" i="11"/>
  <c r="AB21" i="11"/>
  <c r="AA21" i="11"/>
  <c r="Z21" i="11"/>
  <c r="Y21" i="11" s="1"/>
  <c r="C21" i="11"/>
  <c r="AE20" i="11"/>
  <c r="AE31" i="11" s="1"/>
  <c r="AD20" i="11"/>
  <c r="AD31" i="11" s="1"/>
  <c r="AC20" i="11"/>
  <c r="AB20" i="11"/>
  <c r="AB31" i="11" s="1"/>
  <c r="AA20" i="11"/>
  <c r="AA31" i="11" s="1"/>
  <c r="Z20" i="11"/>
  <c r="Y20" i="11" s="1"/>
  <c r="C20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AE17" i="11"/>
  <c r="AD17" i="11"/>
  <c r="AC17" i="11"/>
  <c r="AB17" i="11"/>
  <c r="AA17" i="11"/>
  <c r="Y17" i="11" s="1"/>
  <c r="Z17" i="11"/>
  <c r="C17" i="11"/>
  <c r="AE16" i="11"/>
  <c r="AD16" i="11"/>
  <c r="AC16" i="11"/>
  <c r="AB16" i="11"/>
  <c r="AA16" i="11"/>
  <c r="Y16" i="11" s="1"/>
  <c r="Z16" i="11"/>
  <c r="C16" i="11"/>
  <c r="AE15" i="11"/>
  <c r="AD15" i="11"/>
  <c r="AC15" i="11"/>
  <c r="AB15" i="11"/>
  <c r="AA15" i="11"/>
  <c r="Y15" i="11" s="1"/>
  <c r="Z15" i="11"/>
  <c r="AE14" i="11"/>
  <c r="AE18" i="11" s="1"/>
  <c r="AD14" i="11"/>
  <c r="AD18" i="11" s="1"/>
  <c r="AC14" i="11"/>
  <c r="AC18" i="11" s="1"/>
  <c r="AB14" i="11"/>
  <c r="AB18" i="11" s="1"/>
  <c r="AA14" i="11"/>
  <c r="AA18" i="11" s="1"/>
  <c r="Z14" i="11"/>
  <c r="Z18" i="11" s="1"/>
  <c r="AE12" i="11"/>
  <c r="AC12" i="11"/>
  <c r="AC49" i="11" s="1"/>
  <c r="AA12" i="11"/>
  <c r="X12" i="11"/>
  <c r="W12" i="11"/>
  <c r="W49" i="11" s="1"/>
  <c r="V12" i="11"/>
  <c r="V49" i="11" s="1"/>
  <c r="U12" i="11"/>
  <c r="U49" i="11" s="1"/>
  <c r="T12" i="11"/>
  <c r="T49" i="11" s="1"/>
  <c r="S12" i="11"/>
  <c r="S49" i="11" s="1"/>
  <c r="R12" i="11"/>
  <c r="R49" i="11" s="1"/>
  <c r="Q12" i="11"/>
  <c r="Q49" i="11" s="1"/>
  <c r="P12" i="11"/>
  <c r="P49" i="11" s="1"/>
  <c r="O12" i="11"/>
  <c r="O49" i="11" s="1"/>
  <c r="N12" i="11"/>
  <c r="N49" i="11" s="1"/>
  <c r="M12" i="11"/>
  <c r="M49" i="11" s="1"/>
  <c r="L12" i="11"/>
  <c r="L49" i="11" s="1"/>
  <c r="K12" i="11"/>
  <c r="K49" i="11" s="1"/>
  <c r="J12" i="11"/>
  <c r="J49" i="11" s="1"/>
  <c r="I12" i="11"/>
  <c r="I49" i="11" s="1"/>
  <c r="H12" i="11"/>
  <c r="H49" i="11" s="1"/>
  <c r="G12" i="11"/>
  <c r="G49" i="11" s="1"/>
  <c r="AE11" i="11"/>
  <c r="AD11" i="11"/>
  <c r="AD12" i="11" s="1"/>
  <c r="AC11" i="11"/>
  <c r="AB11" i="11"/>
  <c r="AB12" i="11" s="1"/>
  <c r="AA11" i="11"/>
  <c r="Z11" i="11"/>
  <c r="Y11" i="11" s="1"/>
  <c r="Y12" i="11" s="1"/>
  <c r="AE49" i="11" l="1"/>
  <c r="AB49" i="11"/>
  <c r="AD49" i="11"/>
  <c r="Y31" i="11"/>
  <c r="Z12" i="11"/>
  <c r="Z31" i="11"/>
  <c r="Y37" i="11"/>
  <c r="Y39" i="11" s="1"/>
  <c r="AA42" i="11"/>
  <c r="AA49" i="11" s="1"/>
  <c r="Y44" i="11"/>
  <c r="Y48" i="11" s="1"/>
  <c r="Y14" i="11"/>
  <c r="Y18" i="11" s="1"/>
  <c r="Y49" i="11" s="1"/>
  <c r="C11" i="21"/>
  <c r="Y11" i="21"/>
  <c r="Z11" i="21"/>
  <c r="AA11" i="21"/>
  <c r="AB11" i="21"/>
  <c r="AB19" i="21" s="1"/>
  <c r="AC11" i="21"/>
  <c r="AD11" i="21"/>
  <c r="AE11" i="21"/>
  <c r="C12" i="21"/>
  <c r="Y12" i="21"/>
  <c r="Z12" i="21"/>
  <c r="AA12" i="21"/>
  <c r="AB12" i="21"/>
  <c r="AC12" i="21"/>
  <c r="AD12" i="21"/>
  <c r="AE12" i="21"/>
  <c r="C13" i="21"/>
  <c r="Y13" i="21"/>
  <c r="Z13" i="21"/>
  <c r="AA13" i="21"/>
  <c r="AB13" i="21"/>
  <c r="AC13" i="21"/>
  <c r="AD13" i="21"/>
  <c r="AE13" i="21"/>
  <c r="C14" i="21"/>
  <c r="Y14" i="21"/>
  <c r="Z14" i="21"/>
  <c r="AA14" i="21"/>
  <c r="AB14" i="21"/>
  <c r="AC14" i="21"/>
  <c r="AD14" i="21"/>
  <c r="AE14" i="21"/>
  <c r="C15" i="21"/>
  <c r="Y15" i="21"/>
  <c r="Z15" i="21"/>
  <c r="AA15" i="21"/>
  <c r="AB15" i="21"/>
  <c r="AC15" i="21"/>
  <c r="AD15" i="21"/>
  <c r="AE15" i="21"/>
  <c r="C16" i="21"/>
  <c r="Y16" i="21"/>
  <c r="Z16" i="21"/>
  <c r="AA16" i="21"/>
  <c r="AB16" i="21"/>
  <c r="AC16" i="21"/>
  <c r="AD16" i="21"/>
  <c r="AE16" i="21"/>
  <c r="C17" i="21"/>
  <c r="Y17" i="21"/>
  <c r="Z17" i="21"/>
  <c r="AA17" i="21"/>
  <c r="AB17" i="21"/>
  <c r="AC17" i="21"/>
  <c r="AD17" i="21"/>
  <c r="AE17" i="21"/>
  <c r="C18" i="21"/>
  <c r="Y18" i="21"/>
  <c r="Z18" i="21"/>
  <c r="AA18" i="21"/>
  <c r="AB18" i="21"/>
  <c r="AC18" i="21"/>
  <c r="AD18" i="21"/>
  <c r="AE18" i="21"/>
  <c r="G19" i="21"/>
  <c r="G26" i="21" s="1"/>
  <c r="H19" i="21"/>
  <c r="I19" i="21"/>
  <c r="J19" i="21"/>
  <c r="K19" i="21"/>
  <c r="K26" i="21" s="1"/>
  <c r="L19" i="21"/>
  <c r="M19" i="21"/>
  <c r="N19" i="21"/>
  <c r="O19" i="21"/>
  <c r="O26" i="21" s="1"/>
  <c r="P19" i="21"/>
  <c r="Q19" i="21"/>
  <c r="R19" i="21"/>
  <c r="S19" i="21"/>
  <c r="S26" i="21" s="1"/>
  <c r="T19" i="21"/>
  <c r="U19" i="21"/>
  <c r="V19" i="21"/>
  <c r="W19" i="21"/>
  <c r="W26" i="21" s="1"/>
  <c r="X19" i="21"/>
  <c r="Y19" i="21"/>
  <c r="Z19" i="21"/>
  <c r="AA19" i="21"/>
  <c r="AA26" i="21" s="1"/>
  <c r="AC19" i="21"/>
  <c r="AD19" i="21"/>
  <c r="AE19" i="21"/>
  <c r="C21" i="21"/>
  <c r="Y21" i="21"/>
  <c r="Z21" i="21"/>
  <c r="AA21" i="21"/>
  <c r="AA22" i="21" s="1"/>
  <c r="AB21" i="21"/>
  <c r="AB22" i="21" s="1"/>
  <c r="AC21" i="21"/>
  <c r="AD21" i="21"/>
  <c r="AE21" i="21"/>
  <c r="AE22" i="21" s="1"/>
  <c r="G22" i="21"/>
  <c r="H22" i="21"/>
  <c r="I22" i="21"/>
  <c r="J22" i="21"/>
  <c r="J26" i="21" s="1"/>
  <c r="K22" i="21"/>
  <c r="L22" i="21"/>
  <c r="M22" i="21"/>
  <c r="N22" i="21"/>
  <c r="N26" i="21" s="1"/>
  <c r="O22" i="21"/>
  <c r="P22" i="21"/>
  <c r="Q22" i="21"/>
  <c r="R22" i="21"/>
  <c r="R26" i="21" s="1"/>
  <c r="S22" i="21"/>
  <c r="T22" i="21"/>
  <c r="U22" i="21"/>
  <c r="V22" i="21"/>
  <c r="V26" i="21" s="1"/>
  <c r="W22" i="21"/>
  <c r="X22" i="21"/>
  <c r="Y22" i="21"/>
  <c r="Z22" i="21"/>
  <c r="AC22" i="21"/>
  <c r="AD22" i="21"/>
  <c r="C24" i="21"/>
  <c r="Y24" i="21"/>
  <c r="Z24" i="21"/>
  <c r="Z25" i="21" s="1"/>
  <c r="AA24" i="21"/>
  <c r="AA25" i="21" s="1"/>
  <c r="AB24" i="21"/>
  <c r="AB25" i="21" s="1"/>
  <c r="AC24" i="21"/>
  <c r="AD24" i="21"/>
  <c r="AD25" i="21" s="1"/>
  <c r="AE24" i="21"/>
  <c r="AE25" i="21" s="1"/>
  <c r="G25" i="21"/>
  <c r="H25" i="21"/>
  <c r="I25" i="21"/>
  <c r="I26" i="21" s="1"/>
  <c r="J25" i="21"/>
  <c r="K25" i="21"/>
  <c r="L25" i="21"/>
  <c r="M25" i="21"/>
  <c r="M26" i="21" s="1"/>
  <c r="N25" i="21"/>
  <c r="O25" i="21"/>
  <c r="P25" i="21"/>
  <c r="Q25" i="21"/>
  <c r="Q26" i="21" s="1"/>
  <c r="R25" i="21"/>
  <c r="S25" i="21"/>
  <c r="T25" i="21"/>
  <c r="U25" i="21"/>
  <c r="U26" i="21" s="1"/>
  <c r="V25" i="21"/>
  <c r="W25" i="21"/>
  <c r="X25" i="21"/>
  <c r="Y25" i="21"/>
  <c r="Y26" i="21" s="1"/>
  <c r="AC25" i="21"/>
  <c r="AC26" i="21" s="1"/>
  <c r="H26" i="21"/>
  <c r="L26" i="21"/>
  <c r="P26" i="21"/>
  <c r="T26" i="21"/>
  <c r="X26" i="21"/>
  <c r="Z49" i="11" l="1"/>
  <c r="AE26" i="21"/>
  <c r="AB26" i="21"/>
  <c r="Z26" i="21"/>
  <c r="AD26" i="21"/>
  <c r="C47" i="10"/>
  <c r="Y47" i="10"/>
  <c r="Z47" i="10"/>
  <c r="AA47" i="10"/>
  <c r="AB47" i="10"/>
  <c r="AC47" i="10"/>
  <c r="AD47" i="10"/>
  <c r="AE47" i="10"/>
  <c r="G14" i="8" l="1"/>
  <c r="H44" i="20" l="1"/>
  <c r="I44" i="20"/>
  <c r="J44" i="20"/>
  <c r="K44" i="20"/>
  <c r="P44" i="20"/>
  <c r="H45" i="20"/>
  <c r="I45" i="20"/>
  <c r="J45" i="20"/>
  <c r="K45" i="20"/>
  <c r="P45" i="20"/>
  <c r="H46" i="20"/>
  <c r="I46" i="20"/>
  <c r="J46" i="20"/>
  <c r="K46" i="20"/>
  <c r="P46" i="20"/>
  <c r="H47" i="20"/>
  <c r="I47" i="20"/>
  <c r="J47" i="20"/>
  <c r="K47" i="20"/>
  <c r="P47" i="20"/>
  <c r="H48" i="20"/>
  <c r="I48" i="20"/>
  <c r="J48" i="20"/>
  <c r="K48" i="20"/>
  <c r="P48" i="20"/>
  <c r="H49" i="20"/>
  <c r="I49" i="20"/>
  <c r="J49" i="20"/>
  <c r="K49" i="20"/>
  <c r="P49" i="20"/>
  <c r="H50" i="20"/>
  <c r="I50" i="20"/>
  <c r="J50" i="20"/>
  <c r="K50" i="20"/>
  <c r="P50" i="20"/>
  <c r="H51" i="20"/>
  <c r="I51" i="20"/>
  <c r="J51" i="20"/>
  <c r="K51" i="20"/>
  <c r="P51" i="20"/>
  <c r="H52" i="20"/>
  <c r="I52" i="20"/>
  <c r="J52" i="20"/>
  <c r="K52" i="20"/>
  <c r="P52" i="20"/>
  <c r="H53" i="20"/>
  <c r="I53" i="20"/>
  <c r="J53" i="20"/>
  <c r="K53" i="20"/>
  <c r="P53" i="20"/>
  <c r="H54" i="20"/>
  <c r="I54" i="20"/>
  <c r="J54" i="20"/>
  <c r="K54" i="20"/>
  <c r="P54" i="20"/>
  <c r="H55" i="20"/>
  <c r="I55" i="20"/>
  <c r="J55" i="20"/>
  <c r="K55" i="20"/>
  <c r="P55" i="20"/>
  <c r="H56" i="20"/>
  <c r="I56" i="20"/>
  <c r="J56" i="20"/>
  <c r="K56" i="20"/>
  <c r="P56" i="20"/>
  <c r="H57" i="20"/>
  <c r="I57" i="20"/>
  <c r="J57" i="20"/>
  <c r="K57" i="20"/>
  <c r="P57" i="20"/>
  <c r="H58" i="20"/>
  <c r="I58" i="20"/>
  <c r="J58" i="20"/>
  <c r="K58" i="20"/>
  <c r="P58" i="20"/>
  <c r="I43" i="20"/>
  <c r="J43" i="20"/>
  <c r="K43" i="20"/>
  <c r="P43" i="20"/>
  <c r="H43" i="20"/>
  <c r="AA43" i="20"/>
  <c r="AB43" i="20"/>
  <c r="AC43" i="20"/>
  <c r="AD43" i="20"/>
  <c r="AE43" i="20"/>
  <c r="AF43" i="20"/>
  <c r="Z43" i="20"/>
  <c r="H37" i="4" l="1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G37" i="4"/>
  <c r="H44" i="4" l="1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G44" i="4"/>
  <c r="F103" i="18" l="1"/>
  <c r="F96" i="18"/>
  <c r="X27" i="4" l="1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Y42" i="8" l="1"/>
  <c r="Y43" i="8"/>
  <c r="Y44" i="8"/>
  <c r="Y41" i="8"/>
  <c r="Y37" i="8"/>
  <c r="Y38" i="8"/>
  <c r="Y36" i="8"/>
  <c r="AE24" i="8"/>
  <c r="AE23" i="8"/>
  <c r="Y19" i="9" l="1"/>
  <c r="Y20" i="9"/>
  <c r="Y21" i="9"/>
  <c r="Y22" i="9"/>
  <c r="AE19" i="9"/>
  <c r="AD19" i="9"/>
  <c r="AC19" i="9"/>
  <c r="AB19" i="9"/>
  <c r="AA19" i="9"/>
  <c r="Z19" i="9"/>
  <c r="C19" i="9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AE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G46" i="8" s="1"/>
  <c r="AE35" i="9"/>
  <c r="AE36" i="9"/>
  <c r="AE37" i="9"/>
  <c r="AE38" i="9"/>
  <c r="AD35" i="9"/>
  <c r="AD36" i="9"/>
  <c r="AD37" i="9"/>
  <c r="AD38" i="9"/>
  <c r="AC35" i="9"/>
  <c r="AC36" i="9"/>
  <c r="AC37" i="9"/>
  <c r="AC38" i="9"/>
  <c r="AB35" i="9"/>
  <c r="AB36" i="9"/>
  <c r="AB37" i="9"/>
  <c r="AB38" i="9"/>
  <c r="AA35" i="9"/>
  <c r="AA36" i="9"/>
  <c r="AA37" i="9"/>
  <c r="AA38" i="9"/>
  <c r="Y38" i="9" s="1"/>
  <c r="Z35" i="9"/>
  <c r="Z36" i="9"/>
  <c r="Z37" i="9"/>
  <c r="Y37" i="9" s="1"/>
  <c r="Z38" i="9"/>
  <c r="Y35" i="9"/>
  <c r="Y36" i="9"/>
  <c r="Y34" i="9"/>
  <c r="Y31" i="9"/>
  <c r="Y28" i="9"/>
  <c r="Y25" i="9"/>
  <c r="Y18" i="9"/>
  <c r="Y15" i="9"/>
  <c r="Y14" i="9"/>
  <c r="Y11" i="9"/>
  <c r="AC34" i="10"/>
  <c r="AC35" i="10"/>
  <c r="AC36" i="10"/>
  <c r="AC37" i="10"/>
  <c r="AC38" i="10"/>
  <c r="AC33" i="10"/>
  <c r="AB34" i="10"/>
  <c r="AB35" i="10"/>
  <c r="AB36" i="10"/>
  <c r="AB37" i="10"/>
  <c r="AB38" i="10"/>
  <c r="AB33" i="10"/>
  <c r="AC27" i="10"/>
  <c r="AC26" i="10"/>
  <c r="Z27" i="10"/>
  <c r="Z26" i="10"/>
  <c r="AC22" i="10"/>
  <c r="AC23" i="10"/>
  <c r="AC21" i="10"/>
  <c r="AD12" i="10"/>
  <c r="J40" i="18" s="1"/>
  <c r="AD13" i="10"/>
  <c r="AD14" i="10"/>
  <c r="AD15" i="10"/>
  <c r="AD16" i="10"/>
  <c r="AD17" i="10"/>
  <c r="AD18" i="10"/>
  <c r="AD11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AD19" i="10" l="1"/>
  <c r="Y33" i="8" l="1"/>
  <c r="Y32" i="8"/>
  <c r="Y28" i="8"/>
  <c r="Y29" i="8"/>
  <c r="Y27" i="8"/>
  <c r="Y17" i="8"/>
  <c r="Y18" i="8"/>
  <c r="Y16" i="8"/>
  <c r="Y12" i="8"/>
  <c r="Z42" i="8"/>
  <c r="Z43" i="8"/>
  <c r="Z44" i="8"/>
  <c r="Z37" i="8"/>
  <c r="Z38" i="8"/>
  <c r="Z33" i="8"/>
  <c r="Z28" i="8"/>
  <c r="Z29" i="8"/>
  <c r="Z24" i="8"/>
  <c r="Y24" i="8" s="1"/>
  <c r="Z17" i="8"/>
  <c r="Z18" i="8"/>
  <c r="Z19" i="8"/>
  <c r="Z20" i="8"/>
  <c r="Y20" i="8" s="1"/>
  <c r="Z12" i="8"/>
  <c r="Z13" i="8"/>
  <c r="AA42" i="8"/>
  <c r="AA43" i="8"/>
  <c r="AA44" i="8"/>
  <c r="AA37" i="8"/>
  <c r="AA38" i="8"/>
  <c r="AA33" i="8"/>
  <c r="AA28" i="8"/>
  <c r="AA29" i="8"/>
  <c r="AA24" i="8"/>
  <c r="AA17" i="8"/>
  <c r="AA18" i="8"/>
  <c r="AA19" i="8"/>
  <c r="AA20" i="8"/>
  <c r="AA12" i="8"/>
  <c r="AA13" i="8"/>
  <c r="AB42" i="8"/>
  <c r="AB43" i="8"/>
  <c r="AB44" i="8"/>
  <c r="AB37" i="8"/>
  <c r="AB38" i="8"/>
  <c r="AB33" i="8"/>
  <c r="AB28" i="8"/>
  <c r="AB29" i="8"/>
  <c r="AB24" i="8"/>
  <c r="AB17" i="8"/>
  <c r="AB18" i="8"/>
  <c r="AB19" i="8"/>
  <c r="AB20" i="8"/>
  <c r="AC24" i="8"/>
  <c r="AC17" i="8"/>
  <c r="AC18" i="8"/>
  <c r="AC19" i="8"/>
  <c r="AC20" i="8"/>
  <c r="AD24" i="8"/>
  <c r="AD17" i="8"/>
  <c r="AD18" i="8"/>
  <c r="AD19" i="8"/>
  <c r="AD20" i="8"/>
  <c r="AA40" i="4"/>
  <c r="AA41" i="4"/>
  <c r="AA42" i="4"/>
  <c r="AA39" i="4"/>
  <c r="Y19" i="8" l="1"/>
  <c r="AB21" i="8"/>
  <c r="J51" i="18"/>
  <c r="Z14" i="9" l="1"/>
  <c r="AA14" i="9"/>
  <c r="AD14" i="9"/>
  <c r="AE14" i="9"/>
  <c r="F114" i="18" l="1"/>
  <c r="F115" i="18"/>
  <c r="G114" i="18"/>
  <c r="G115" i="18"/>
  <c r="H114" i="18"/>
  <c r="H115" i="18"/>
  <c r="I114" i="18"/>
  <c r="I115" i="18"/>
  <c r="J114" i="18"/>
  <c r="J115" i="18"/>
  <c r="K114" i="18"/>
  <c r="K115" i="18"/>
  <c r="E115" i="18" l="1"/>
  <c r="E114" i="18"/>
  <c r="X24" i="10"/>
  <c r="O24" i="10"/>
  <c r="H119" i="18" l="1"/>
  <c r="H121" i="18"/>
  <c r="H122" i="18"/>
  <c r="H123" i="18"/>
  <c r="I119" i="18"/>
  <c r="I120" i="18"/>
  <c r="I121" i="18"/>
  <c r="I122" i="18"/>
  <c r="I123" i="18"/>
  <c r="H118" i="18"/>
  <c r="I118" i="18"/>
  <c r="F110" i="18"/>
  <c r="F111" i="18"/>
  <c r="F112" i="18"/>
  <c r="G110" i="18"/>
  <c r="G111" i="18"/>
  <c r="G112" i="18"/>
  <c r="H110" i="18"/>
  <c r="H111" i="18"/>
  <c r="H112" i="18"/>
  <c r="I110" i="18"/>
  <c r="I111" i="18"/>
  <c r="I112" i="18"/>
  <c r="J110" i="18"/>
  <c r="J111" i="18"/>
  <c r="J112" i="18"/>
  <c r="K110" i="18"/>
  <c r="K111" i="18"/>
  <c r="K112" i="18"/>
  <c r="F109" i="18"/>
  <c r="G109" i="18"/>
  <c r="H109" i="18"/>
  <c r="I109" i="18"/>
  <c r="J109" i="18"/>
  <c r="K109" i="18"/>
  <c r="G106" i="18"/>
  <c r="G107" i="18"/>
  <c r="G108" i="18"/>
  <c r="G105" i="18"/>
  <c r="G102" i="18"/>
  <c r="E102" i="18" s="1"/>
  <c r="K102" i="18"/>
  <c r="G101" i="18"/>
  <c r="E101" i="18" s="1"/>
  <c r="K101" i="18"/>
  <c r="F70" i="18"/>
  <c r="F71" i="18"/>
  <c r="G70" i="18"/>
  <c r="G71" i="18"/>
  <c r="H70" i="18"/>
  <c r="H71" i="18"/>
  <c r="I70" i="18"/>
  <c r="I71" i="18"/>
  <c r="J70" i="18"/>
  <c r="J71" i="18"/>
  <c r="K70" i="18"/>
  <c r="K71" i="18"/>
  <c r="F69" i="18"/>
  <c r="G69" i="18"/>
  <c r="H69" i="18"/>
  <c r="I69" i="18"/>
  <c r="J69" i="18"/>
  <c r="K69" i="18"/>
  <c r="I66" i="18"/>
  <c r="E71" i="18" l="1"/>
  <c r="E111" i="18"/>
  <c r="E69" i="18"/>
  <c r="E110" i="18"/>
  <c r="E112" i="18"/>
  <c r="E109" i="18"/>
  <c r="E70" i="18"/>
  <c r="I54" i="18"/>
  <c r="J49" i="18" l="1"/>
  <c r="J48" i="18"/>
  <c r="J44" i="18"/>
  <c r="J45" i="18"/>
  <c r="J43" i="18" l="1"/>
  <c r="F36" i="18" l="1"/>
  <c r="G36" i="18"/>
  <c r="H36" i="18"/>
  <c r="I36" i="18"/>
  <c r="J36" i="18"/>
  <c r="K36" i="18"/>
  <c r="F27" i="18"/>
  <c r="G27" i="18"/>
  <c r="H27" i="18"/>
  <c r="I27" i="18"/>
  <c r="J27" i="18"/>
  <c r="K27" i="18"/>
  <c r="F22" i="18"/>
  <c r="F23" i="18"/>
  <c r="F24" i="18"/>
  <c r="G22" i="18"/>
  <c r="G23" i="18"/>
  <c r="G24" i="18"/>
  <c r="H22" i="18"/>
  <c r="H23" i="18"/>
  <c r="H24" i="18"/>
  <c r="I22" i="18"/>
  <c r="I23" i="18"/>
  <c r="I24" i="18"/>
  <c r="J22" i="18"/>
  <c r="J23" i="18"/>
  <c r="J24" i="18"/>
  <c r="K22" i="18"/>
  <c r="K23" i="18"/>
  <c r="F21" i="18"/>
  <c r="G21" i="18"/>
  <c r="H21" i="18"/>
  <c r="I21" i="18"/>
  <c r="J21" i="18"/>
  <c r="K21" i="18"/>
  <c r="E24" i="18" l="1"/>
  <c r="E21" i="18"/>
  <c r="E23" i="18"/>
  <c r="E36" i="18"/>
  <c r="E27" i="18"/>
  <c r="E22" i="18"/>
  <c r="F18" i="18"/>
  <c r="H18" i="18"/>
  <c r="I18" i="18"/>
  <c r="K18" i="18"/>
  <c r="F14" i="18" l="1"/>
  <c r="G14" i="18" l="1"/>
  <c r="H14" i="18"/>
  <c r="K14" i="18"/>
  <c r="G13" i="18"/>
  <c r="H13" i="18"/>
  <c r="Z33" i="4" l="1"/>
  <c r="AA33" i="4"/>
  <c r="G97" i="18" s="1"/>
  <c r="E97" i="18" s="1"/>
  <c r="AB33" i="4"/>
  <c r="AC33" i="4"/>
  <c r="AD33" i="4"/>
  <c r="J97" i="18" s="1"/>
  <c r="AE33" i="4"/>
  <c r="K97" i="18" s="1"/>
  <c r="Z32" i="4"/>
  <c r="AA32" i="4"/>
  <c r="AB32" i="4"/>
  <c r="AC32" i="4"/>
  <c r="AD32" i="4"/>
  <c r="AE32" i="4"/>
  <c r="AA30" i="4"/>
  <c r="Z29" i="4"/>
  <c r="Z30" i="4" s="1"/>
  <c r="AA29" i="4"/>
  <c r="AB29" i="4"/>
  <c r="AB30" i="4" s="1"/>
  <c r="AC29" i="4"/>
  <c r="AC30" i="4" s="1"/>
  <c r="AD29" i="4"/>
  <c r="AD30" i="4" s="1"/>
  <c r="AE29" i="4"/>
  <c r="AE30" i="4" s="1"/>
  <c r="Z22" i="4"/>
  <c r="F31" i="18" s="1"/>
  <c r="Z23" i="4"/>
  <c r="F32" i="18" s="1"/>
  <c r="Z24" i="4"/>
  <c r="F33" i="18" s="1"/>
  <c r="Z25" i="4"/>
  <c r="F34" i="18" s="1"/>
  <c r="Z26" i="4"/>
  <c r="AA22" i="4"/>
  <c r="G31" i="18" s="1"/>
  <c r="AA23" i="4"/>
  <c r="G32" i="18" s="1"/>
  <c r="AA24" i="4"/>
  <c r="G33" i="18" s="1"/>
  <c r="AA25" i="4"/>
  <c r="G34" i="18" s="1"/>
  <c r="AA26" i="4"/>
  <c r="AB22" i="4"/>
  <c r="H31" i="18" s="1"/>
  <c r="AB23" i="4"/>
  <c r="H32" i="18" s="1"/>
  <c r="AB24" i="4"/>
  <c r="H33" i="18" s="1"/>
  <c r="AB25" i="4"/>
  <c r="H34" i="18" s="1"/>
  <c r="AB26" i="4"/>
  <c r="H35" i="18" s="1"/>
  <c r="AC22" i="4"/>
  <c r="I31" i="18" s="1"/>
  <c r="AC23" i="4"/>
  <c r="I32" i="18" s="1"/>
  <c r="AC24" i="4"/>
  <c r="I33" i="18" s="1"/>
  <c r="AC25" i="4"/>
  <c r="I34" i="18" s="1"/>
  <c r="AC26" i="4"/>
  <c r="AD22" i="4"/>
  <c r="J31" i="18" s="1"/>
  <c r="AD23" i="4"/>
  <c r="J32" i="18" s="1"/>
  <c r="AD24" i="4"/>
  <c r="J33" i="18" s="1"/>
  <c r="AD25" i="4"/>
  <c r="J34" i="18" s="1"/>
  <c r="AD26" i="4"/>
  <c r="AE22" i="4"/>
  <c r="K31" i="18" s="1"/>
  <c r="AE23" i="4"/>
  <c r="K32" i="18" s="1"/>
  <c r="AE24" i="4"/>
  <c r="K33" i="18" s="1"/>
  <c r="AE25" i="4"/>
  <c r="K34" i="18" s="1"/>
  <c r="AE26" i="4"/>
  <c r="K35" i="18" s="1"/>
  <c r="Z21" i="4"/>
  <c r="AA21" i="4"/>
  <c r="AB21" i="4"/>
  <c r="AC21" i="4"/>
  <c r="AD21" i="4"/>
  <c r="AE21" i="4"/>
  <c r="Z16" i="4"/>
  <c r="F12" i="18" s="1"/>
  <c r="Z17" i="4"/>
  <c r="F16" i="18" s="1"/>
  <c r="Z18" i="4"/>
  <c r="F17" i="18" s="1"/>
  <c r="AA16" i="4"/>
  <c r="G12" i="18" s="1"/>
  <c r="AA17" i="4"/>
  <c r="G16" i="18" s="1"/>
  <c r="AA18" i="4"/>
  <c r="G17" i="18" s="1"/>
  <c r="AB16" i="4"/>
  <c r="H12" i="18" s="1"/>
  <c r="AB17" i="4"/>
  <c r="H16" i="18" s="1"/>
  <c r="AB18" i="4"/>
  <c r="H17" i="18" s="1"/>
  <c r="AC16" i="4"/>
  <c r="I12" i="18" s="1"/>
  <c r="AC17" i="4"/>
  <c r="I16" i="18" s="1"/>
  <c r="AC18" i="4"/>
  <c r="I17" i="18" s="1"/>
  <c r="AD16" i="4"/>
  <c r="J12" i="18" s="1"/>
  <c r="AD17" i="4"/>
  <c r="J16" i="18" s="1"/>
  <c r="AD18" i="4"/>
  <c r="J17" i="18" s="1"/>
  <c r="AE16" i="4"/>
  <c r="K12" i="18" s="1"/>
  <c r="AE17" i="4"/>
  <c r="K16" i="18" s="1"/>
  <c r="AE18" i="4"/>
  <c r="K17" i="18" s="1"/>
  <c r="Z15" i="4"/>
  <c r="AA15" i="4"/>
  <c r="AB15" i="4"/>
  <c r="H11" i="18" s="1"/>
  <c r="AC15" i="4"/>
  <c r="AC19" i="4" s="1"/>
  <c r="AD15" i="4"/>
  <c r="AE15" i="4"/>
  <c r="AB13" i="4"/>
  <c r="Z12" i="4"/>
  <c r="F7" i="18" s="1"/>
  <c r="Z11" i="4"/>
  <c r="Z13" i="4" s="1"/>
  <c r="AA12" i="4"/>
  <c r="G7" i="18" s="1"/>
  <c r="AA11" i="4"/>
  <c r="G6" i="18" s="1"/>
  <c r="AB12" i="4"/>
  <c r="H7" i="18" s="1"/>
  <c r="AB11" i="4"/>
  <c r="H6" i="18" s="1"/>
  <c r="AC12" i="4"/>
  <c r="I7" i="18" s="1"/>
  <c r="AC11" i="4"/>
  <c r="I6" i="18" s="1"/>
  <c r="AD12" i="4"/>
  <c r="AD11" i="4"/>
  <c r="J6" i="18" s="1"/>
  <c r="AE12" i="4"/>
  <c r="K7" i="18" s="1"/>
  <c r="AE11" i="4"/>
  <c r="K6" i="18" s="1"/>
  <c r="E12" i="18" l="1"/>
  <c r="AE19" i="4"/>
  <c r="Y15" i="4"/>
  <c r="Y26" i="4"/>
  <c r="E34" i="18"/>
  <c r="Y33" i="4"/>
  <c r="AD19" i="4"/>
  <c r="Z19" i="4"/>
  <c r="AD13" i="4"/>
  <c r="Y11" i="4"/>
  <c r="AC13" i="4"/>
  <c r="E16" i="18"/>
  <c r="Y16" i="4"/>
  <c r="AB19" i="4"/>
  <c r="AE27" i="4"/>
  <c r="K30" i="18"/>
  <c r="K37" i="18" s="1"/>
  <c r="AA27" i="4"/>
  <c r="G30" i="18"/>
  <c r="E31" i="18"/>
  <c r="Y23" i="4"/>
  <c r="Y29" i="4"/>
  <c r="Y30" i="4" s="1"/>
  <c r="K96" i="18"/>
  <c r="G96" i="18"/>
  <c r="F6" i="18"/>
  <c r="F8" i="18" s="1"/>
  <c r="K11" i="18"/>
  <c r="G11" i="18"/>
  <c r="AA13" i="4"/>
  <c r="AA19" i="4"/>
  <c r="AD27" i="4"/>
  <c r="J30" i="18"/>
  <c r="Z27" i="4"/>
  <c r="F30" i="18"/>
  <c r="Y22" i="4"/>
  <c r="J96" i="18"/>
  <c r="J7" i="18"/>
  <c r="J8" i="18" s="1"/>
  <c r="J11" i="18"/>
  <c r="F11" i="18"/>
  <c r="Y12" i="4"/>
  <c r="AE13" i="4"/>
  <c r="Y18" i="4"/>
  <c r="AC27" i="4"/>
  <c r="I30" i="18"/>
  <c r="I37" i="18" s="1"/>
  <c r="Y21" i="4"/>
  <c r="E33" i="18"/>
  <c r="Y25" i="4"/>
  <c r="Y32" i="4"/>
  <c r="I11" i="18"/>
  <c r="E17" i="18"/>
  <c r="Y17" i="4"/>
  <c r="AB27" i="4"/>
  <c r="H30" i="18"/>
  <c r="H37" i="18" s="1"/>
  <c r="E32" i="18"/>
  <c r="Y24" i="4"/>
  <c r="H8" i="18"/>
  <c r="K8" i="18"/>
  <c r="I8" i="18"/>
  <c r="E7" i="18"/>
  <c r="G8" i="18"/>
  <c r="E11" i="18" l="1"/>
  <c r="Y27" i="4"/>
  <c r="E6" i="18"/>
  <c r="E8" i="18" s="1"/>
  <c r="Y19" i="4"/>
  <c r="F37" i="18"/>
  <c r="E30" i="18"/>
  <c r="E96" i="18"/>
  <c r="Y13" i="4"/>
  <c r="C48" i="4"/>
  <c r="C49" i="4"/>
  <c r="C50" i="4"/>
  <c r="AE49" i="4"/>
  <c r="AD49" i="4"/>
  <c r="AC49" i="4"/>
  <c r="AB49" i="4"/>
  <c r="AA49" i="4"/>
  <c r="Z49" i="4"/>
  <c r="Y49" i="4"/>
  <c r="C52" i="8" l="1"/>
  <c r="C54" i="8"/>
  <c r="D65" i="20" l="1"/>
  <c r="D19" i="20"/>
  <c r="D17" i="20"/>
  <c r="B42" i="20" l="1"/>
  <c r="B32" i="20"/>
  <c r="B24" i="20"/>
  <c r="B14" i="20"/>
  <c r="AF64" i="20"/>
  <c r="AE64" i="20"/>
  <c r="AB64" i="20"/>
  <c r="AA64" i="20"/>
  <c r="Z64" i="20"/>
  <c r="Y64" i="20"/>
  <c r="T64" i="20"/>
  <c r="S64" i="20"/>
  <c r="P64" i="20"/>
  <c r="K64" i="20"/>
  <c r="J64" i="20"/>
  <c r="I64" i="20"/>
  <c r="H64" i="20"/>
  <c r="F64" i="20"/>
  <c r="AF63" i="20"/>
  <c r="AE63" i="20"/>
  <c r="AB63" i="20"/>
  <c r="AA63" i="20"/>
  <c r="Z63" i="20"/>
  <c r="Y63" i="20"/>
  <c r="T63" i="20"/>
  <c r="S63" i="20"/>
  <c r="P63" i="20"/>
  <c r="K63" i="20"/>
  <c r="J63" i="20"/>
  <c r="I63" i="20"/>
  <c r="H63" i="20"/>
  <c r="F63" i="20"/>
  <c r="AF62" i="20"/>
  <c r="AE62" i="20"/>
  <c r="AA62" i="20"/>
  <c r="Z62" i="20"/>
  <c r="Y62" i="20"/>
  <c r="R62" i="20"/>
  <c r="Q62" i="20"/>
  <c r="F62" i="20"/>
  <c r="C62" i="20"/>
  <c r="AF61" i="20"/>
  <c r="AE61" i="20"/>
  <c r="AA61" i="20"/>
  <c r="Z61" i="20"/>
  <c r="Y61" i="20"/>
  <c r="R61" i="20"/>
  <c r="Q61" i="20"/>
  <c r="F61" i="20"/>
  <c r="C61" i="20"/>
  <c r="AF60" i="20"/>
  <c r="AE60" i="20"/>
  <c r="AA60" i="20"/>
  <c r="Z60" i="20"/>
  <c r="Y60" i="20"/>
  <c r="R60" i="20"/>
  <c r="Q60" i="20"/>
  <c r="F60" i="20"/>
  <c r="C60" i="20"/>
  <c r="AF59" i="20"/>
  <c r="AE59" i="20"/>
  <c r="Y59" i="20"/>
  <c r="F59" i="20"/>
  <c r="C59" i="20"/>
  <c r="AF58" i="20"/>
  <c r="AE58" i="20"/>
  <c r="AA58" i="20"/>
  <c r="Z58" i="20"/>
  <c r="F58" i="20"/>
  <c r="C58" i="20"/>
  <c r="AF57" i="20"/>
  <c r="AE57" i="20"/>
  <c r="AA57" i="20"/>
  <c r="Z57" i="20"/>
  <c r="F57" i="20"/>
  <c r="AF56" i="20"/>
  <c r="AE56" i="20"/>
  <c r="AA56" i="20"/>
  <c r="Z56" i="20"/>
  <c r="F56" i="20"/>
  <c r="C56" i="20"/>
  <c r="AF55" i="20"/>
  <c r="AE55" i="20"/>
  <c r="AA55" i="20"/>
  <c r="Z55" i="20"/>
  <c r="F55" i="20"/>
  <c r="C55" i="20"/>
  <c r="AF54" i="20"/>
  <c r="AE54" i="20"/>
  <c r="AB54" i="20"/>
  <c r="AA54" i="20"/>
  <c r="Z54" i="20"/>
  <c r="F54" i="20"/>
  <c r="C54" i="20"/>
  <c r="AF53" i="20"/>
  <c r="AE53" i="20"/>
  <c r="AB53" i="20"/>
  <c r="AA53" i="20"/>
  <c r="Z53" i="20"/>
  <c r="F53" i="20"/>
  <c r="C53" i="20"/>
  <c r="AF52" i="20"/>
  <c r="AE52" i="20"/>
  <c r="AB52" i="20"/>
  <c r="AA52" i="20"/>
  <c r="Z52" i="20"/>
  <c r="F52" i="20"/>
  <c r="C52" i="20"/>
  <c r="AF51" i="20"/>
  <c r="AE51" i="20"/>
  <c r="AB51" i="20"/>
  <c r="AA51" i="20"/>
  <c r="Z51" i="20"/>
  <c r="F51" i="20"/>
  <c r="C51" i="20"/>
  <c r="AF50" i="20"/>
  <c r="AE50" i="20"/>
  <c r="AB50" i="20"/>
  <c r="AA50" i="20"/>
  <c r="Z50" i="20"/>
  <c r="F50" i="20"/>
  <c r="C50" i="20"/>
  <c r="AF49" i="20"/>
  <c r="AE49" i="20"/>
  <c r="AB49" i="20"/>
  <c r="AA49" i="20"/>
  <c r="Z49" i="20"/>
  <c r="F49" i="20"/>
  <c r="AF48" i="20"/>
  <c r="AE48" i="20"/>
  <c r="AB48" i="20"/>
  <c r="AA48" i="20"/>
  <c r="Z48" i="20"/>
  <c r="F48" i="20"/>
  <c r="C48" i="20"/>
  <c r="AF47" i="20"/>
  <c r="AE47" i="20"/>
  <c r="AB47" i="20"/>
  <c r="AA47" i="20"/>
  <c r="Z47" i="20"/>
  <c r="F47" i="20"/>
  <c r="C47" i="20"/>
  <c r="AF46" i="20"/>
  <c r="AE46" i="20"/>
  <c r="AB46" i="20"/>
  <c r="AA46" i="20"/>
  <c r="Z46" i="20"/>
  <c r="F46" i="20"/>
  <c r="C46" i="20"/>
  <c r="AF45" i="20"/>
  <c r="AE45" i="20"/>
  <c r="AB45" i="20"/>
  <c r="AA45" i="20"/>
  <c r="Z45" i="20"/>
  <c r="F45" i="20"/>
  <c r="C45" i="20"/>
  <c r="AF44" i="20"/>
  <c r="AE44" i="20"/>
  <c r="AB44" i="20"/>
  <c r="AA44" i="20"/>
  <c r="Z44" i="20"/>
  <c r="F44" i="20"/>
  <c r="C44" i="20"/>
  <c r="F43" i="20"/>
  <c r="C43" i="20"/>
  <c r="AF41" i="20"/>
  <c r="AE41" i="20"/>
  <c r="AA41" i="20"/>
  <c r="Z41" i="20"/>
  <c r="Y41" i="20"/>
  <c r="R41" i="20"/>
  <c r="Q41" i="20"/>
  <c r="F41" i="20"/>
  <c r="C41" i="20"/>
  <c r="AF40" i="20"/>
  <c r="AE40" i="20"/>
  <c r="AA40" i="20"/>
  <c r="Z40" i="20"/>
  <c r="Y40" i="20"/>
  <c r="R40" i="20"/>
  <c r="Q40" i="20"/>
  <c r="F40" i="20"/>
  <c r="C40" i="20"/>
  <c r="AF39" i="20"/>
  <c r="AE39" i="20"/>
  <c r="AA39" i="20"/>
  <c r="Z39" i="20"/>
  <c r="Y39" i="20"/>
  <c r="R39" i="20"/>
  <c r="Q39" i="20"/>
  <c r="F39" i="20"/>
  <c r="C39" i="20"/>
  <c r="AF38" i="20"/>
  <c r="AE38" i="20"/>
  <c r="AA38" i="20"/>
  <c r="Z38" i="20"/>
  <c r="Y38" i="20"/>
  <c r="R38" i="20"/>
  <c r="Q38" i="20"/>
  <c r="F38" i="20"/>
  <c r="C38" i="20"/>
  <c r="AF37" i="20"/>
  <c r="AE37" i="20"/>
  <c r="AA37" i="20"/>
  <c r="Z37" i="20"/>
  <c r="Y37" i="20"/>
  <c r="R37" i="20"/>
  <c r="Q37" i="20"/>
  <c r="F37" i="20"/>
  <c r="C37" i="20"/>
  <c r="AF36" i="20"/>
  <c r="AE36" i="20"/>
  <c r="AA36" i="20"/>
  <c r="Z36" i="20"/>
  <c r="Y36" i="20"/>
  <c r="R36" i="20"/>
  <c r="Q36" i="20"/>
  <c r="F36" i="20"/>
  <c r="C36" i="20"/>
  <c r="AF35" i="20"/>
  <c r="AE35" i="20"/>
  <c r="AA35" i="20"/>
  <c r="Z35" i="20"/>
  <c r="P35" i="20"/>
  <c r="I35" i="20"/>
  <c r="H35" i="20"/>
  <c r="F35" i="20"/>
  <c r="C35" i="20"/>
  <c r="AF34" i="20"/>
  <c r="AE34" i="20"/>
  <c r="AA34" i="20"/>
  <c r="Z34" i="20"/>
  <c r="P34" i="20"/>
  <c r="I34" i="20"/>
  <c r="H34" i="20"/>
  <c r="F34" i="20"/>
  <c r="C34" i="20"/>
  <c r="AF33" i="20"/>
  <c r="AE33" i="20"/>
  <c r="AA33" i="20"/>
  <c r="Z33" i="20"/>
  <c r="P33" i="20"/>
  <c r="I33" i="20"/>
  <c r="H33" i="20"/>
  <c r="F33" i="20"/>
  <c r="C33" i="20"/>
  <c r="AF31" i="20"/>
  <c r="AE31" i="20"/>
  <c r="AA31" i="20"/>
  <c r="Z31" i="20"/>
  <c r="Y31" i="20"/>
  <c r="R31" i="20"/>
  <c r="Q31" i="20"/>
  <c r="P31" i="20"/>
  <c r="F31" i="20"/>
  <c r="C31" i="20"/>
  <c r="AF30" i="20"/>
  <c r="AE30" i="20"/>
  <c r="AA30" i="20"/>
  <c r="Z30" i="20"/>
  <c r="Y30" i="20"/>
  <c r="R30" i="20"/>
  <c r="Q30" i="20"/>
  <c r="P30" i="20"/>
  <c r="F30" i="20"/>
  <c r="C30" i="20"/>
  <c r="AF29" i="20"/>
  <c r="AE29" i="20"/>
  <c r="AA29" i="20"/>
  <c r="Z29" i="20"/>
  <c r="Y29" i="20"/>
  <c r="R29" i="20"/>
  <c r="Q29" i="20"/>
  <c r="P29" i="20"/>
  <c r="F29" i="20"/>
  <c r="C29" i="20"/>
  <c r="AF28" i="20"/>
  <c r="AE28" i="20"/>
  <c r="AB28" i="20"/>
  <c r="AA28" i="20"/>
  <c r="Z28" i="20"/>
  <c r="P28" i="20"/>
  <c r="K28" i="20"/>
  <c r="J28" i="20"/>
  <c r="F28" i="20"/>
  <c r="C28" i="20"/>
  <c r="AF27" i="20"/>
  <c r="AE27" i="20"/>
  <c r="AB27" i="20"/>
  <c r="AA27" i="20"/>
  <c r="Z27" i="20"/>
  <c r="P27" i="20"/>
  <c r="K27" i="20"/>
  <c r="J27" i="20"/>
  <c r="F27" i="20"/>
  <c r="C27" i="20"/>
  <c r="AF26" i="20"/>
  <c r="AE26" i="20"/>
  <c r="AA26" i="20"/>
  <c r="Z26" i="20"/>
  <c r="P26" i="20"/>
  <c r="I26" i="20"/>
  <c r="H26" i="20"/>
  <c r="F26" i="20"/>
  <c r="C26" i="20"/>
  <c r="AF25" i="20"/>
  <c r="AE25" i="20"/>
  <c r="AA25" i="20"/>
  <c r="Z25" i="20"/>
  <c r="P25" i="20"/>
  <c r="I25" i="20"/>
  <c r="H25" i="20"/>
  <c r="F25" i="20"/>
  <c r="C25" i="20"/>
  <c r="AF23" i="20"/>
  <c r="AE23" i="20"/>
  <c r="AA23" i="20"/>
  <c r="Z23" i="20"/>
  <c r="Y23" i="20"/>
  <c r="R23" i="20"/>
  <c r="Q23" i="20"/>
  <c r="AF22" i="20"/>
  <c r="AE22" i="20"/>
  <c r="AA22" i="20"/>
  <c r="Z22" i="20"/>
  <c r="Y22" i="20"/>
  <c r="R22" i="20"/>
  <c r="Q22" i="20"/>
  <c r="F22" i="20"/>
  <c r="C22" i="20"/>
  <c r="AF21" i="20"/>
  <c r="AE21" i="20"/>
  <c r="AA21" i="20"/>
  <c r="Z21" i="20"/>
  <c r="Y21" i="20"/>
  <c r="R21" i="20"/>
  <c r="Q21" i="20"/>
  <c r="F21" i="20"/>
  <c r="C21" i="20"/>
  <c r="AF20" i="20"/>
  <c r="AE20" i="20"/>
  <c r="AA20" i="20"/>
  <c r="Z20" i="20"/>
  <c r="Y20" i="20"/>
  <c r="R20" i="20"/>
  <c r="Q20" i="20"/>
  <c r="F20" i="20"/>
  <c r="C20" i="20"/>
  <c r="AF19" i="20"/>
  <c r="AE19" i="20"/>
  <c r="Z19" i="20"/>
  <c r="Y19" i="20"/>
  <c r="F19" i="20"/>
  <c r="C19" i="20"/>
  <c r="AF18" i="20"/>
  <c r="AE18" i="20"/>
  <c r="AA18" i="20"/>
  <c r="Z18" i="20"/>
  <c r="P18" i="20"/>
  <c r="I18" i="20"/>
  <c r="H18" i="20"/>
  <c r="F18" i="20"/>
  <c r="C18" i="20"/>
  <c r="AF17" i="20"/>
  <c r="AE17" i="20"/>
  <c r="AA17" i="20"/>
  <c r="Z17" i="20"/>
  <c r="P17" i="20"/>
  <c r="I17" i="20"/>
  <c r="H17" i="20"/>
  <c r="F17" i="20"/>
  <c r="C17" i="20"/>
  <c r="AF16" i="20"/>
  <c r="AE16" i="20"/>
  <c r="AA16" i="20"/>
  <c r="Z16" i="20"/>
  <c r="P16" i="20"/>
  <c r="I16" i="20"/>
  <c r="H16" i="20"/>
  <c r="F16" i="20"/>
  <c r="C16" i="20"/>
  <c r="AF15" i="20"/>
  <c r="AE15" i="20"/>
  <c r="AA15" i="20"/>
  <c r="Z15" i="20"/>
  <c r="P15" i="20"/>
  <c r="I15" i="20"/>
  <c r="H15" i="20"/>
  <c r="F15" i="20"/>
  <c r="C15" i="20"/>
  <c r="AF13" i="20"/>
  <c r="AE13" i="20"/>
  <c r="AA13" i="20"/>
  <c r="Z13" i="20"/>
  <c r="Y13" i="20"/>
  <c r="R13" i="20"/>
  <c r="Q13" i="20"/>
  <c r="F13" i="20"/>
  <c r="C13" i="20"/>
  <c r="AF12" i="20"/>
  <c r="AE12" i="20"/>
  <c r="AA12" i="20"/>
  <c r="Z12" i="20"/>
  <c r="Y12" i="20"/>
  <c r="R12" i="20"/>
  <c r="Q12" i="20"/>
  <c r="F12" i="20"/>
  <c r="C12" i="20"/>
  <c r="AF11" i="20"/>
  <c r="AE11" i="20"/>
  <c r="AA11" i="20"/>
  <c r="Z11" i="20"/>
  <c r="Y11" i="20"/>
  <c r="R11" i="20"/>
  <c r="Q11" i="20"/>
  <c r="F11" i="20"/>
  <c r="C11" i="20"/>
  <c r="AF9" i="20"/>
  <c r="AE9" i="20"/>
  <c r="AA9" i="20"/>
  <c r="Z9" i="20"/>
  <c r="P9" i="20"/>
  <c r="I9" i="20"/>
  <c r="H9" i="20"/>
  <c r="F9" i="20"/>
  <c r="D9" i="20"/>
  <c r="C9" i="20"/>
  <c r="AF8" i="20"/>
  <c r="AE8" i="20"/>
  <c r="AA8" i="20"/>
  <c r="Z8" i="20"/>
  <c r="D8" i="20"/>
  <c r="B7" i="20"/>
  <c r="B53" i="8" l="1"/>
  <c r="C58" i="8"/>
  <c r="D23" i="20" s="1"/>
  <c r="Y58" i="8"/>
  <c r="Z58" i="8"/>
  <c r="AA58" i="8"/>
  <c r="AB58" i="8"/>
  <c r="AC58" i="8"/>
  <c r="AD58" i="8"/>
  <c r="AE58" i="8"/>
  <c r="C53" i="8" l="1"/>
  <c r="D18" i="20" s="1"/>
  <c r="C41" i="18"/>
  <c r="G18" i="18" l="1"/>
  <c r="J18" i="18"/>
  <c r="E18" i="18"/>
  <c r="O16" i="9" l="1"/>
  <c r="H16" i="9"/>
  <c r="G16" i="9"/>
  <c r="C88" i="14" l="1"/>
  <c r="G39" i="8" l="1"/>
  <c r="AD36" i="8"/>
  <c r="C100" i="18"/>
  <c r="C99" i="18"/>
  <c r="C98" i="18"/>
  <c r="C35" i="18"/>
  <c r="K94" i="18"/>
  <c r="J94" i="18"/>
  <c r="I94" i="18"/>
  <c r="H94" i="18"/>
  <c r="G94" i="18"/>
  <c r="F94" i="18"/>
  <c r="E94" i="18"/>
  <c r="C93" i="18"/>
  <c r="C92" i="18"/>
  <c r="C91" i="18"/>
  <c r="C90" i="18"/>
  <c r="C89" i="18"/>
  <c r="C88" i="18"/>
  <c r="C87" i="18"/>
  <c r="C86" i="18"/>
  <c r="C83" i="18"/>
  <c r="C82" i="18"/>
  <c r="C81" i="18"/>
  <c r="C80" i="18"/>
  <c r="C79" i="18"/>
  <c r="C78" i="18"/>
  <c r="C77" i="18"/>
  <c r="C76" i="18"/>
  <c r="C73" i="18"/>
  <c r="C72" i="18"/>
  <c r="C71" i="18"/>
  <c r="C70" i="18"/>
  <c r="C69" i="18"/>
  <c r="C66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1" i="18"/>
  <c r="C50" i="18"/>
  <c r="C49" i="18"/>
  <c r="C48" i="18"/>
  <c r="C47" i="18"/>
  <c r="C46" i="18"/>
  <c r="C45" i="18"/>
  <c r="C44" i="18"/>
  <c r="C43" i="18"/>
  <c r="C42" i="18"/>
  <c r="C40" i="18"/>
  <c r="C39" i="18"/>
  <c r="C34" i="18"/>
  <c r="C33" i="18"/>
  <c r="C32" i="18"/>
  <c r="C31" i="18"/>
  <c r="C30" i="18"/>
  <c r="C26" i="18"/>
  <c r="C25" i="18"/>
  <c r="C24" i="18"/>
  <c r="C23" i="18"/>
  <c r="C22" i="18"/>
  <c r="C21" i="18"/>
  <c r="C17" i="18"/>
  <c r="C16" i="18"/>
  <c r="C15" i="18"/>
  <c r="C14" i="18"/>
  <c r="C13" i="18"/>
  <c r="C12" i="18"/>
  <c r="C11" i="18"/>
  <c r="C10" i="18"/>
  <c r="C7" i="18"/>
  <c r="C6" i="18"/>
  <c r="C36" i="5" l="1"/>
  <c r="C20" i="5" l="1"/>
  <c r="E29" i="16" l="1"/>
  <c r="F29" i="16"/>
  <c r="G29" i="16"/>
  <c r="H29" i="16"/>
  <c r="I29" i="16"/>
  <c r="J29" i="16"/>
  <c r="K29" i="16"/>
  <c r="K249" i="16"/>
  <c r="J249" i="16"/>
  <c r="I249" i="16"/>
  <c r="H249" i="16"/>
  <c r="G249" i="16"/>
  <c r="F249" i="16"/>
  <c r="E249" i="16"/>
  <c r="K217" i="16"/>
  <c r="J217" i="16"/>
  <c r="I217" i="16"/>
  <c r="H217" i="16"/>
  <c r="G217" i="16"/>
  <c r="F217" i="16"/>
  <c r="E217" i="16"/>
  <c r="C214" i="16"/>
  <c r="C213" i="16"/>
  <c r="C212" i="16"/>
  <c r="C211" i="16"/>
  <c r="C210" i="16"/>
  <c r="C209" i="16"/>
  <c r="K207" i="16"/>
  <c r="J207" i="16"/>
  <c r="I207" i="16"/>
  <c r="H207" i="16"/>
  <c r="G207" i="16"/>
  <c r="F207" i="16"/>
  <c r="E207" i="16"/>
  <c r="C206" i="16"/>
  <c r="C205" i="16"/>
  <c r="C204" i="16"/>
  <c r="C203" i="16"/>
  <c r="C202" i="16"/>
  <c r="C201" i="16"/>
  <c r="C200" i="16"/>
  <c r="C199" i="16"/>
  <c r="K197" i="16"/>
  <c r="J197" i="16"/>
  <c r="I197" i="16"/>
  <c r="H197" i="16"/>
  <c r="G197" i="16"/>
  <c r="F197" i="16"/>
  <c r="E197" i="16"/>
  <c r="C196" i="16"/>
  <c r="C195" i="16"/>
  <c r="C194" i="16"/>
  <c r="C193" i="16"/>
  <c r="C192" i="16"/>
  <c r="C191" i="16"/>
  <c r="C190" i="16"/>
  <c r="C189" i="16"/>
  <c r="K183" i="16"/>
  <c r="J183" i="16"/>
  <c r="I183" i="16"/>
  <c r="H183" i="16"/>
  <c r="G183" i="16"/>
  <c r="F183" i="16"/>
  <c r="E183" i="16"/>
  <c r="C182" i="16"/>
  <c r="C181" i="16"/>
  <c r="C180" i="16"/>
  <c r="C179" i="16"/>
  <c r="C178" i="16"/>
  <c r="K151" i="16"/>
  <c r="J151" i="16"/>
  <c r="I151" i="16"/>
  <c r="H151" i="16"/>
  <c r="G151" i="16"/>
  <c r="F151" i="16"/>
  <c r="E151" i="16"/>
  <c r="C150" i="16"/>
  <c r="C149" i="16"/>
  <c r="C148" i="16"/>
  <c r="C147" i="16"/>
  <c r="C146" i="16"/>
  <c r="C145" i="16"/>
  <c r="C144" i="16"/>
  <c r="C143" i="16"/>
  <c r="C142" i="16"/>
  <c r="C141" i="16"/>
  <c r="C140" i="16"/>
  <c r="C139" i="16"/>
  <c r="C138" i="16"/>
  <c r="K102" i="16"/>
  <c r="J102" i="16"/>
  <c r="I102" i="16"/>
  <c r="H102" i="16"/>
  <c r="G102" i="16"/>
  <c r="F102" i="16"/>
  <c r="E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K83" i="16"/>
  <c r="J83" i="16"/>
  <c r="I83" i="16"/>
  <c r="H83" i="16"/>
  <c r="G83" i="16"/>
  <c r="F83" i="16"/>
  <c r="E83" i="16"/>
  <c r="C82" i="16"/>
  <c r="C81" i="16"/>
  <c r="C80" i="16"/>
  <c r="C79" i="16"/>
  <c r="C77" i="16"/>
  <c r="K54" i="16"/>
  <c r="J54" i="16"/>
  <c r="I54" i="16"/>
  <c r="H54" i="16"/>
  <c r="G54" i="16"/>
  <c r="F54" i="16"/>
  <c r="E54" i="16"/>
  <c r="C53" i="16"/>
  <c r="C52" i="16"/>
  <c r="C51" i="16"/>
  <c r="C50" i="16"/>
  <c r="C49" i="16"/>
  <c r="C48" i="16"/>
  <c r="C28" i="16"/>
  <c r="C27" i="16"/>
  <c r="C26" i="16"/>
  <c r="C25" i="16"/>
  <c r="C24" i="16"/>
  <c r="C23" i="16"/>
  <c r="C22" i="16"/>
  <c r="C21" i="16"/>
  <c r="K8" i="16"/>
  <c r="J8" i="16"/>
  <c r="I8" i="16"/>
  <c r="H8" i="16"/>
  <c r="G8" i="16"/>
  <c r="F8" i="16"/>
  <c r="E8" i="16"/>
  <c r="C7" i="16"/>
  <c r="C6" i="16"/>
  <c r="K250" i="16" l="1"/>
  <c r="G250" i="16"/>
  <c r="F250" i="16"/>
  <c r="J250" i="16"/>
  <c r="E250" i="16"/>
  <c r="I250" i="16"/>
  <c r="H250" i="16"/>
  <c r="B23" i="5" l="1"/>
  <c r="Y22" i="5"/>
  <c r="R22" i="5"/>
  <c r="Q22" i="5"/>
  <c r="D22" i="5"/>
  <c r="C21" i="5"/>
  <c r="AF22" i="5"/>
  <c r="AE22" i="5"/>
  <c r="AA22" i="5"/>
  <c r="Z22" i="5"/>
  <c r="Y20" i="5"/>
  <c r="R20" i="5"/>
  <c r="Q20" i="5"/>
  <c r="F20" i="5"/>
  <c r="C28" i="5" l="1"/>
  <c r="F62" i="5" l="1"/>
  <c r="AD21" i="10" l="1"/>
  <c r="J54" i="18" s="1"/>
  <c r="AB21" i="10"/>
  <c r="H54" i="18" s="1"/>
  <c r="AA21" i="10"/>
  <c r="G54" i="18" s="1"/>
  <c r="Z21" i="10"/>
  <c r="Y21" i="10" l="1"/>
  <c r="F54" i="18"/>
  <c r="E54" i="18" s="1"/>
  <c r="C76" i="14" l="1"/>
  <c r="F63" i="5"/>
  <c r="H63" i="5"/>
  <c r="I63" i="5"/>
  <c r="J63" i="5"/>
  <c r="K63" i="5"/>
  <c r="P63" i="5"/>
  <c r="S63" i="5"/>
  <c r="T63" i="5"/>
  <c r="Y63" i="5"/>
  <c r="C17" i="14"/>
  <c r="C18" i="4" s="1"/>
  <c r="C16" i="14"/>
  <c r="C17" i="4" s="1"/>
  <c r="C15" i="14"/>
  <c r="C11" i="9" s="1"/>
  <c r="C14" i="14"/>
  <c r="C13" i="8" s="1"/>
  <c r="C13" i="14"/>
  <c r="C12" i="8" s="1"/>
  <c r="C12" i="14"/>
  <c r="C16" i="4" s="1"/>
  <c r="C11" i="14"/>
  <c r="C15" i="4" s="1"/>
  <c r="C95" i="14"/>
  <c r="C94" i="14"/>
  <c r="C93" i="14"/>
  <c r="C92" i="14"/>
  <c r="C96" i="14"/>
  <c r="C36" i="14"/>
  <c r="C20" i="9" s="1"/>
  <c r="C41" i="14"/>
  <c r="C42" i="14"/>
  <c r="C21" i="9" s="1"/>
  <c r="C43" i="14"/>
  <c r="C16" i="10" s="1"/>
  <c r="C45" i="14"/>
  <c r="C22" i="9" s="1"/>
  <c r="C46" i="14"/>
  <c r="C18" i="10" s="1"/>
  <c r="C49" i="14"/>
  <c r="C61" i="14"/>
  <c r="C23" i="10" s="1"/>
  <c r="C60" i="14"/>
  <c r="C59" i="14"/>
  <c r="C58" i="14"/>
  <c r="C57" i="14"/>
  <c r="C56" i="14"/>
  <c r="C55" i="14"/>
  <c r="C54" i="14"/>
  <c r="C50" i="14"/>
  <c r="C53" i="14"/>
  <c r="C52" i="14"/>
  <c r="C51" i="14"/>
  <c r="F56" i="5"/>
  <c r="H56" i="5"/>
  <c r="I56" i="5"/>
  <c r="P56" i="5"/>
  <c r="C57" i="5"/>
  <c r="F57" i="5"/>
  <c r="H57" i="5"/>
  <c r="I57" i="5"/>
  <c r="P57" i="5"/>
  <c r="C58" i="5"/>
  <c r="F58" i="5"/>
  <c r="Q58" i="5"/>
  <c r="R58" i="5"/>
  <c r="Y58" i="5"/>
  <c r="C59" i="5"/>
  <c r="F59" i="5"/>
  <c r="Q59" i="5"/>
  <c r="R59" i="5"/>
  <c r="Y59" i="5"/>
  <c r="C60" i="5"/>
  <c r="F60" i="5"/>
  <c r="Q60" i="5"/>
  <c r="R60" i="5"/>
  <c r="Y60" i="5"/>
  <c r="C61" i="5"/>
  <c r="F61" i="5"/>
  <c r="Q61" i="5"/>
  <c r="R61" i="5"/>
  <c r="Y61" i="5"/>
  <c r="C55" i="5"/>
  <c r="F55" i="5"/>
  <c r="H55" i="5"/>
  <c r="I55" i="5"/>
  <c r="P55" i="5"/>
  <c r="D63" i="20"/>
  <c r="AF61" i="5"/>
  <c r="AE61" i="5"/>
  <c r="AA61" i="5"/>
  <c r="Z61" i="5"/>
  <c r="AF60" i="5"/>
  <c r="AE60" i="5"/>
  <c r="AA60" i="5"/>
  <c r="Z60" i="5"/>
  <c r="AF59" i="5"/>
  <c r="AE59" i="5"/>
  <c r="AA59" i="5"/>
  <c r="Z59" i="5"/>
  <c r="D63" i="5" l="1"/>
  <c r="D64" i="20"/>
  <c r="D60" i="5"/>
  <c r="D61" i="20"/>
  <c r="D61" i="5"/>
  <c r="D62" i="20"/>
  <c r="D59" i="5"/>
  <c r="D60" i="20"/>
  <c r="C64" i="8"/>
  <c r="C63" i="8"/>
  <c r="C62" i="8"/>
  <c r="C61" i="8"/>
  <c r="C65" i="8"/>
  <c r="B7" i="5"/>
  <c r="B41" i="5"/>
  <c r="B31" i="5"/>
  <c r="B14" i="5"/>
  <c r="AF8" i="5"/>
  <c r="AE8" i="5"/>
  <c r="AA8" i="5"/>
  <c r="Z8" i="5"/>
  <c r="D8" i="5"/>
  <c r="B9" i="5"/>
  <c r="C42" i="5"/>
  <c r="F42" i="5"/>
  <c r="H42" i="5"/>
  <c r="I42" i="5"/>
  <c r="J42" i="5"/>
  <c r="K42" i="5"/>
  <c r="P42" i="5"/>
  <c r="C43" i="5"/>
  <c r="F43" i="5"/>
  <c r="H43" i="5"/>
  <c r="I43" i="5"/>
  <c r="J43" i="5"/>
  <c r="K43" i="5"/>
  <c r="P43" i="5"/>
  <c r="C44" i="5"/>
  <c r="F44" i="5"/>
  <c r="H44" i="5"/>
  <c r="I44" i="5"/>
  <c r="J44" i="5"/>
  <c r="K44" i="5"/>
  <c r="P44" i="5"/>
  <c r="C45" i="5"/>
  <c r="F45" i="5"/>
  <c r="H45" i="5"/>
  <c r="I45" i="5"/>
  <c r="J45" i="5"/>
  <c r="K45" i="5"/>
  <c r="P45" i="5"/>
  <c r="C46" i="5"/>
  <c r="F46" i="5"/>
  <c r="H46" i="5"/>
  <c r="I46" i="5"/>
  <c r="J46" i="5"/>
  <c r="K46" i="5"/>
  <c r="P46" i="5"/>
  <c r="C47" i="5"/>
  <c r="F47" i="5"/>
  <c r="H47" i="5"/>
  <c r="I47" i="5"/>
  <c r="J47" i="5"/>
  <c r="K47" i="5"/>
  <c r="P47" i="5"/>
  <c r="C48" i="5"/>
  <c r="F48" i="5"/>
  <c r="H48" i="5"/>
  <c r="I48" i="5"/>
  <c r="J48" i="5"/>
  <c r="K48" i="5"/>
  <c r="P48" i="5"/>
  <c r="C49" i="5"/>
  <c r="F49" i="5"/>
  <c r="H49" i="5"/>
  <c r="I49" i="5"/>
  <c r="J49" i="5"/>
  <c r="K49" i="5"/>
  <c r="P49" i="5"/>
  <c r="C50" i="5"/>
  <c r="F50" i="5"/>
  <c r="H50" i="5"/>
  <c r="I50" i="5"/>
  <c r="J50" i="5"/>
  <c r="K50" i="5"/>
  <c r="P50" i="5"/>
  <c r="C51" i="5"/>
  <c r="F51" i="5"/>
  <c r="H51" i="5"/>
  <c r="I51" i="5"/>
  <c r="J51" i="5"/>
  <c r="K51" i="5"/>
  <c r="P51" i="5"/>
  <c r="C52" i="5"/>
  <c r="F52" i="5"/>
  <c r="H52" i="5"/>
  <c r="I52" i="5"/>
  <c r="J52" i="5"/>
  <c r="K52" i="5"/>
  <c r="P52" i="5"/>
  <c r="C53" i="5"/>
  <c r="F53" i="5"/>
  <c r="H53" i="5"/>
  <c r="I53" i="5"/>
  <c r="J53" i="5"/>
  <c r="K53" i="5"/>
  <c r="P53" i="5"/>
  <c r="C54" i="5"/>
  <c r="F54" i="5"/>
  <c r="H54" i="5"/>
  <c r="I54" i="5"/>
  <c r="P54" i="5"/>
  <c r="H62" i="5"/>
  <c r="I62" i="5"/>
  <c r="J62" i="5"/>
  <c r="K62" i="5"/>
  <c r="P62" i="5"/>
  <c r="S62" i="5"/>
  <c r="T62" i="5"/>
  <c r="Y62" i="5"/>
  <c r="C32" i="5"/>
  <c r="F32" i="5"/>
  <c r="H32" i="5"/>
  <c r="I32" i="5"/>
  <c r="P32" i="5"/>
  <c r="C33" i="5"/>
  <c r="F33" i="5"/>
  <c r="H33" i="5"/>
  <c r="I33" i="5"/>
  <c r="P33" i="5"/>
  <c r="C34" i="5"/>
  <c r="F34" i="5"/>
  <c r="H34" i="5"/>
  <c r="I34" i="5"/>
  <c r="P34" i="5"/>
  <c r="C35" i="5"/>
  <c r="F35" i="5"/>
  <c r="Q35" i="5"/>
  <c r="R35" i="5"/>
  <c r="Y35" i="5"/>
  <c r="F36" i="5"/>
  <c r="Q36" i="5"/>
  <c r="R36" i="5"/>
  <c r="Y36" i="5"/>
  <c r="C37" i="5"/>
  <c r="F37" i="5"/>
  <c r="Q37" i="5"/>
  <c r="R37" i="5"/>
  <c r="Y37" i="5"/>
  <c r="C38" i="5"/>
  <c r="F38" i="5"/>
  <c r="Q38" i="5"/>
  <c r="R38" i="5"/>
  <c r="Y38" i="5"/>
  <c r="C39" i="5"/>
  <c r="F39" i="5"/>
  <c r="Q39" i="5"/>
  <c r="R39" i="5"/>
  <c r="Y39" i="5"/>
  <c r="C40" i="5"/>
  <c r="F40" i="5"/>
  <c r="Q40" i="5"/>
  <c r="R40" i="5"/>
  <c r="Y40" i="5"/>
  <c r="C24" i="5"/>
  <c r="F24" i="5"/>
  <c r="H24" i="5"/>
  <c r="I24" i="5"/>
  <c r="P24" i="5"/>
  <c r="C25" i="5"/>
  <c r="F25" i="5"/>
  <c r="H25" i="5"/>
  <c r="I25" i="5"/>
  <c r="P25" i="5"/>
  <c r="C26" i="5"/>
  <c r="F26" i="5"/>
  <c r="J26" i="5"/>
  <c r="K26" i="5"/>
  <c r="P26" i="5"/>
  <c r="C27" i="5"/>
  <c r="F27" i="5"/>
  <c r="J27" i="5"/>
  <c r="K27" i="5"/>
  <c r="P27" i="5"/>
  <c r="F28" i="5"/>
  <c r="P28" i="5"/>
  <c r="Q28" i="5"/>
  <c r="R28" i="5"/>
  <c r="Y28" i="5"/>
  <c r="C29" i="5"/>
  <c r="F29" i="5"/>
  <c r="P29" i="5"/>
  <c r="Q29" i="5"/>
  <c r="R29" i="5"/>
  <c r="Y29" i="5"/>
  <c r="C30" i="5"/>
  <c r="F30" i="5"/>
  <c r="P30" i="5"/>
  <c r="Q30" i="5"/>
  <c r="R30" i="5"/>
  <c r="Y30" i="5"/>
  <c r="C16" i="5"/>
  <c r="F16" i="5"/>
  <c r="H16" i="5"/>
  <c r="I16" i="5"/>
  <c r="P16" i="5"/>
  <c r="C17" i="5"/>
  <c r="F17" i="5"/>
  <c r="H17" i="5"/>
  <c r="I17" i="5"/>
  <c r="P17" i="5"/>
  <c r="C18" i="5"/>
  <c r="F18" i="5"/>
  <c r="S18" i="5"/>
  <c r="T18" i="5"/>
  <c r="Y18" i="5"/>
  <c r="C19" i="5"/>
  <c r="F19" i="5"/>
  <c r="Q19" i="5"/>
  <c r="R19" i="5"/>
  <c r="Y19" i="5"/>
  <c r="F21" i="5"/>
  <c r="Q21" i="5"/>
  <c r="R21" i="5"/>
  <c r="Y21" i="5"/>
  <c r="C15" i="5"/>
  <c r="F15" i="5"/>
  <c r="H15" i="5"/>
  <c r="I15" i="5"/>
  <c r="P15" i="5"/>
  <c r="Y11" i="5"/>
  <c r="Y12" i="5"/>
  <c r="Y13" i="5"/>
  <c r="C9" i="5"/>
  <c r="F9" i="5"/>
  <c r="H9" i="5"/>
  <c r="I9" i="5"/>
  <c r="P9" i="5"/>
  <c r="C10" i="5"/>
  <c r="F10" i="5"/>
  <c r="H10" i="5"/>
  <c r="I10" i="5"/>
  <c r="P10" i="5"/>
  <c r="C11" i="5"/>
  <c r="F11" i="5"/>
  <c r="Q11" i="5"/>
  <c r="R11" i="5"/>
  <c r="C12" i="5"/>
  <c r="F12" i="5"/>
  <c r="Q12" i="5"/>
  <c r="R12" i="5"/>
  <c r="C13" i="5"/>
  <c r="F13" i="5"/>
  <c r="Q13" i="5"/>
  <c r="R13" i="5"/>
  <c r="AA63" i="5" l="1"/>
  <c r="AB63" i="5"/>
  <c r="AF63" i="5"/>
  <c r="AE63" i="5"/>
  <c r="Z63" i="5"/>
  <c r="K127" i="14"/>
  <c r="K83" i="18"/>
  <c r="J83" i="18"/>
  <c r="I83" i="18"/>
  <c r="H83" i="18"/>
  <c r="G83" i="18"/>
  <c r="F83" i="18"/>
  <c r="K127" i="18"/>
  <c r="J127" i="18"/>
  <c r="I127" i="18"/>
  <c r="H127" i="18"/>
  <c r="G127" i="18"/>
  <c r="F127" i="18"/>
  <c r="K99" i="14"/>
  <c r="E83" i="18" l="1"/>
  <c r="E127" i="18"/>
  <c r="F127" i="14"/>
  <c r="G127" i="14"/>
  <c r="H127" i="14"/>
  <c r="I127" i="14"/>
  <c r="J127" i="14"/>
  <c r="E127" i="14"/>
  <c r="F99" i="14"/>
  <c r="G99" i="14"/>
  <c r="H99" i="14"/>
  <c r="I99" i="14"/>
  <c r="J99" i="14"/>
  <c r="E99" i="14"/>
  <c r="F89" i="14"/>
  <c r="G89" i="14"/>
  <c r="H89" i="14"/>
  <c r="I89" i="14"/>
  <c r="J89" i="14"/>
  <c r="K89" i="14"/>
  <c r="E89" i="14"/>
  <c r="F79" i="14"/>
  <c r="G79" i="14"/>
  <c r="H79" i="14"/>
  <c r="I79" i="14"/>
  <c r="J79" i="14"/>
  <c r="K79" i="14"/>
  <c r="E79" i="14"/>
  <c r="F69" i="14"/>
  <c r="G69" i="14"/>
  <c r="H69" i="14"/>
  <c r="I69" i="14"/>
  <c r="J69" i="14"/>
  <c r="K69" i="14"/>
  <c r="E69" i="14"/>
  <c r="F62" i="14"/>
  <c r="G62" i="14"/>
  <c r="H62" i="14"/>
  <c r="I62" i="14"/>
  <c r="J62" i="14"/>
  <c r="K62" i="14"/>
  <c r="E62" i="14"/>
  <c r="F47" i="14"/>
  <c r="G47" i="14"/>
  <c r="H47" i="14"/>
  <c r="I47" i="14"/>
  <c r="J47" i="14"/>
  <c r="K47" i="14"/>
  <c r="E47" i="14"/>
  <c r="F33" i="14"/>
  <c r="G33" i="14"/>
  <c r="H33" i="14"/>
  <c r="I33" i="14"/>
  <c r="J33" i="14"/>
  <c r="K33" i="14"/>
  <c r="E33" i="14"/>
  <c r="F26" i="14"/>
  <c r="G26" i="14"/>
  <c r="H26" i="14"/>
  <c r="I26" i="14"/>
  <c r="J26" i="14"/>
  <c r="K26" i="14"/>
  <c r="E26" i="14"/>
  <c r="F18" i="14"/>
  <c r="G18" i="14"/>
  <c r="H18" i="14"/>
  <c r="I18" i="14"/>
  <c r="J18" i="14"/>
  <c r="K18" i="14"/>
  <c r="E18" i="14"/>
  <c r="F8" i="14"/>
  <c r="G8" i="14"/>
  <c r="H8" i="14"/>
  <c r="I8" i="14"/>
  <c r="J8" i="14"/>
  <c r="K8" i="14"/>
  <c r="E8" i="14"/>
  <c r="H62" i="18"/>
  <c r="C72" i="14"/>
  <c r="C73" i="14"/>
  <c r="C74" i="14"/>
  <c r="C75" i="14"/>
  <c r="C77" i="14"/>
  <c r="C78" i="14"/>
  <c r="C71" i="14"/>
  <c r="C82" i="14"/>
  <c r="C83" i="14"/>
  <c r="C84" i="14"/>
  <c r="C85" i="14"/>
  <c r="C86" i="14"/>
  <c r="C87" i="14"/>
  <c r="C81" i="14"/>
  <c r="C65" i="14"/>
  <c r="C28" i="8" s="1"/>
  <c r="C66" i="14"/>
  <c r="C29" i="8" s="1"/>
  <c r="C67" i="14"/>
  <c r="C68" i="14"/>
  <c r="C64" i="14"/>
  <c r="C27" i="8" s="1"/>
  <c r="C21" i="14"/>
  <c r="C17" i="8" s="1"/>
  <c r="C22" i="14"/>
  <c r="C18" i="8" s="1"/>
  <c r="C23" i="14"/>
  <c r="C19" i="8" s="1"/>
  <c r="C24" i="14"/>
  <c r="C14" i="9" s="1"/>
  <c r="C25" i="14"/>
  <c r="C15" i="9" s="1"/>
  <c r="C20" i="14"/>
  <c r="C16" i="8" s="1"/>
  <c r="C10" i="14"/>
  <c r="C11" i="8" s="1"/>
  <c r="C7" i="14"/>
  <c r="C12" i="4" s="1"/>
  <c r="C6" i="14"/>
  <c r="C11" i="4" s="1"/>
  <c r="C29" i="14"/>
  <c r="C22" i="4" s="1"/>
  <c r="C30" i="14"/>
  <c r="C23" i="4" s="1"/>
  <c r="C31" i="14"/>
  <c r="C24" i="4" s="1"/>
  <c r="C32" i="14"/>
  <c r="C25" i="4" s="1"/>
  <c r="C28" i="14"/>
  <c r="C21" i="4" s="1"/>
  <c r="C37" i="14"/>
  <c r="C38" i="14"/>
  <c r="C39" i="14"/>
  <c r="C40" i="14"/>
  <c r="C44" i="14"/>
  <c r="C35" i="14"/>
  <c r="C18" i="9" s="1"/>
  <c r="C91" i="14"/>
  <c r="K128" i="14" l="1"/>
  <c r="F128" i="14"/>
  <c r="I128" i="14"/>
  <c r="E128" i="14"/>
  <c r="J128" i="14"/>
  <c r="H128" i="14"/>
  <c r="G128" i="14"/>
  <c r="C44" i="10"/>
  <c r="C52" i="4"/>
  <c r="C51" i="4"/>
  <c r="D10" i="5"/>
  <c r="D9" i="5"/>
  <c r="D33" i="5" l="1"/>
  <c r="D34" i="20"/>
  <c r="D13" i="5"/>
  <c r="D13" i="20"/>
  <c r="D11" i="5"/>
  <c r="D11" i="20"/>
  <c r="D12" i="5"/>
  <c r="D12" i="20"/>
  <c r="C51" i="9"/>
  <c r="C50" i="9"/>
  <c r="C49" i="9"/>
  <c r="C48" i="9"/>
  <c r="C47" i="9"/>
  <c r="C45" i="9"/>
  <c r="C44" i="9"/>
  <c r="K77" i="18"/>
  <c r="K78" i="18"/>
  <c r="K79" i="18"/>
  <c r="K80" i="18"/>
  <c r="K81" i="18"/>
  <c r="K82" i="18"/>
  <c r="J77" i="18"/>
  <c r="J78" i="18"/>
  <c r="J79" i="18"/>
  <c r="J80" i="18"/>
  <c r="J81" i="18"/>
  <c r="J82" i="18"/>
  <c r="I77" i="18"/>
  <c r="I78" i="18"/>
  <c r="I79" i="18"/>
  <c r="I80" i="18"/>
  <c r="I81" i="18"/>
  <c r="I82" i="18"/>
  <c r="H77" i="18"/>
  <c r="H78" i="18"/>
  <c r="H79" i="18"/>
  <c r="H80" i="18"/>
  <c r="H81" i="18"/>
  <c r="H82" i="18"/>
  <c r="G77" i="18"/>
  <c r="G78" i="18"/>
  <c r="G79" i="18"/>
  <c r="G80" i="18"/>
  <c r="G81" i="18"/>
  <c r="G82" i="18"/>
  <c r="F77" i="18"/>
  <c r="F78" i="18"/>
  <c r="F79" i="18"/>
  <c r="E79" i="18" s="1"/>
  <c r="F80" i="18"/>
  <c r="F81" i="18"/>
  <c r="F82" i="18"/>
  <c r="E82" i="18" l="1"/>
  <c r="E78" i="18"/>
  <c r="E81" i="18"/>
  <c r="E77" i="18"/>
  <c r="E80" i="18"/>
  <c r="D26" i="5"/>
  <c r="D27" i="20"/>
  <c r="D27" i="5"/>
  <c r="D28" i="20"/>
  <c r="D30" i="5"/>
  <c r="D31" i="20"/>
  <c r="D24" i="5"/>
  <c r="D25" i="20"/>
  <c r="D28" i="5"/>
  <c r="D29" i="20"/>
  <c r="D25" i="5"/>
  <c r="D26" i="20"/>
  <c r="D29" i="5"/>
  <c r="D30" i="20"/>
  <c r="J76" i="18" l="1"/>
  <c r="J84" i="18" s="1"/>
  <c r="I76" i="18"/>
  <c r="I84" i="18" s="1"/>
  <c r="G76" i="18"/>
  <c r="G84" i="18" s="1"/>
  <c r="F76" i="18"/>
  <c r="K76" i="18"/>
  <c r="K84" i="18" s="1"/>
  <c r="H76" i="18"/>
  <c r="H84" i="18" s="1"/>
  <c r="AE44" i="10"/>
  <c r="AF33" i="5" s="1"/>
  <c r="AE46" i="10"/>
  <c r="AF34" i="5" s="1"/>
  <c r="AF35" i="5"/>
  <c r="AE48" i="10"/>
  <c r="AF36" i="5" s="1"/>
  <c r="AE49" i="10"/>
  <c r="AF37" i="5" s="1"/>
  <c r="AE50" i="10"/>
  <c r="AF38" i="5" s="1"/>
  <c r="AE51" i="10"/>
  <c r="AF39" i="5" s="1"/>
  <c r="AF40" i="5"/>
  <c r="AD44" i="10"/>
  <c r="AE33" i="5" s="1"/>
  <c r="AD46" i="10"/>
  <c r="AE34" i="5" s="1"/>
  <c r="AE35" i="5"/>
  <c r="AD48" i="10"/>
  <c r="AE36" i="5" s="1"/>
  <c r="AD49" i="10"/>
  <c r="AE37" i="5" s="1"/>
  <c r="AD50" i="10"/>
  <c r="AE38" i="5" s="1"/>
  <c r="AD51" i="10"/>
  <c r="AE39" i="5" s="1"/>
  <c r="AE40" i="5"/>
  <c r="AC44" i="10"/>
  <c r="AC46" i="10"/>
  <c r="AC48" i="10"/>
  <c r="AC49" i="10"/>
  <c r="AC50" i="10"/>
  <c r="AC51" i="10"/>
  <c r="AB44" i="10"/>
  <c r="AB46" i="10"/>
  <c r="AB48" i="10"/>
  <c r="AB49" i="10"/>
  <c r="AB50" i="10"/>
  <c r="AB51" i="10"/>
  <c r="AA44" i="10"/>
  <c r="AA46" i="10"/>
  <c r="AA48" i="10"/>
  <c r="AA49" i="10"/>
  <c r="AA50" i="10"/>
  <c r="AA51" i="10"/>
  <c r="Z44" i="10"/>
  <c r="AA33" i="5" s="1"/>
  <c r="Z46" i="10"/>
  <c r="AA34" i="5" s="1"/>
  <c r="AA35" i="5"/>
  <c r="Z48" i="10"/>
  <c r="AA36" i="5" s="1"/>
  <c r="Z49" i="10"/>
  <c r="AA37" i="5" s="1"/>
  <c r="Z50" i="10"/>
  <c r="AA38" i="5" s="1"/>
  <c r="Z51" i="10"/>
  <c r="AA39" i="5" s="1"/>
  <c r="AA40" i="5"/>
  <c r="Y44" i="10"/>
  <c r="Z33" i="5" s="1"/>
  <c r="Y46" i="10"/>
  <c r="Z34" i="5" s="1"/>
  <c r="Z35" i="5"/>
  <c r="Y48" i="10"/>
  <c r="Z36" i="5" s="1"/>
  <c r="Y49" i="10"/>
  <c r="Z37" i="5" s="1"/>
  <c r="Y50" i="10"/>
  <c r="Z38" i="5" s="1"/>
  <c r="Y51" i="10"/>
  <c r="Z39" i="5" s="1"/>
  <c r="Z40" i="5"/>
  <c r="AB47" i="9"/>
  <c r="Y47" i="9"/>
  <c r="Z26" i="5" s="1"/>
  <c r="AE45" i="9"/>
  <c r="AF25" i="5" s="1"/>
  <c r="AE47" i="9"/>
  <c r="AF26" i="5" s="1"/>
  <c r="AE48" i="9"/>
  <c r="AF27" i="5" s="1"/>
  <c r="AE49" i="9"/>
  <c r="AF28" i="5" s="1"/>
  <c r="AE50" i="9"/>
  <c r="AF29" i="5" s="1"/>
  <c r="AE51" i="9"/>
  <c r="AF30" i="5" s="1"/>
  <c r="AD45" i="9"/>
  <c r="AE25" i="5" s="1"/>
  <c r="AD47" i="9"/>
  <c r="AE26" i="5" s="1"/>
  <c r="AD48" i="9"/>
  <c r="AE27" i="5" s="1"/>
  <c r="AD49" i="9"/>
  <c r="AE28" i="5" s="1"/>
  <c r="AD50" i="9"/>
  <c r="AE29" i="5" s="1"/>
  <c r="AD51" i="9"/>
  <c r="AE30" i="5" s="1"/>
  <c r="AC45" i="9"/>
  <c r="AC47" i="9"/>
  <c r="AC48" i="9"/>
  <c r="AC49" i="9"/>
  <c r="AC50" i="9"/>
  <c r="AC51" i="9"/>
  <c r="AB45" i="9"/>
  <c r="AB48" i="9"/>
  <c r="AB49" i="9"/>
  <c r="AB50" i="9"/>
  <c r="AB51" i="9"/>
  <c r="AA45" i="9"/>
  <c r="AA47" i="9"/>
  <c r="AB26" i="5" s="1"/>
  <c r="AA48" i="9"/>
  <c r="AB27" i="5" s="1"/>
  <c r="AA49" i="9"/>
  <c r="AA50" i="9"/>
  <c r="AA51" i="9"/>
  <c r="Z45" i="9"/>
  <c r="AA25" i="5" s="1"/>
  <c r="Z47" i="9"/>
  <c r="AA26" i="5" s="1"/>
  <c r="Z48" i="9"/>
  <c r="AA27" i="5" s="1"/>
  <c r="Z49" i="9"/>
  <c r="AA28" i="5" s="1"/>
  <c r="Z50" i="9"/>
  <c r="AA29" i="5" s="1"/>
  <c r="Z51" i="9"/>
  <c r="AA30" i="5" s="1"/>
  <c r="Y45" i="9"/>
  <c r="Z25" i="5" s="1"/>
  <c r="Y48" i="9"/>
  <c r="Z27" i="5" s="1"/>
  <c r="Y49" i="9"/>
  <c r="Z28" i="5" s="1"/>
  <c r="Y50" i="9"/>
  <c r="Z29" i="5" s="1"/>
  <c r="Y51" i="9"/>
  <c r="Z30" i="5" s="1"/>
  <c r="F84" i="18" l="1"/>
  <c r="E76" i="18"/>
  <c r="E84" i="18" s="1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6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62" i="5"/>
  <c r="AB43" i="5"/>
  <c r="AB44" i="5"/>
  <c r="AB45" i="5"/>
  <c r="AB46" i="5"/>
  <c r="AB47" i="5"/>
  <c r="AB48" i="5"/>
  <c r="AB49" i="5"/>
  <c r="AB50" i="5"/>
  <c r="AB51" i="5"/>
  <c r="AB52" i="5"/>
  <c r="AB53" i="5"/>
  <c r="AB6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6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62" i="5"/>
  <c r="Z42" i="5"/>
  <c r="D62" i="5"/>
  <c r="D49" i="20"/>
  <c r="AF42" i="5"/>
  <c r="AE42" i="5"/>
  <c r="AB42" i="5"/>
  <c r="AA42" i="5"/>
  <c r="C50" i="10"/>
  <c r="C49" i="10"/>
  <c r="C48" i="10"/>
  <c r="C51" i="10"/>
  <c r="C46" i="10"/>
  <c r="AE43" i="10"/>
  <c r="AF32" i="5" s="1"/>
  <c r="AD43" i="10"/>
  <c r="AE32" i="5" s="1"/>
  <c r="AC43" i="10"/>
  <c r="AB43" i="10"/>
  <c r="AA43" i="10"/>
  <c r="Z43" i="10"/>
  <c r="AA32" i="5" s="1"/>
  <c r="Y43" i="10"/>
  <c r="Z32" i="5" s="1"/>
  <c r="C43" i="10"/>
  <c r="K116" i="18"/>
  <c r="K117" i="18"/>
  <c r="J116" i="18"/>
  <c r="J117" i="18"/>
  <c r="I116" i="18"/>
  <c r="I117" i="18"/>
  <c r="H116" i="18"/>
  <c r="H117" i="18"/>
  <c r="G116" i="18"/>
  <c r="G117" i="18"/>
  <c r="F116" i="18"/>
  <c r="F117" i="18"/>
  <c r="D18" i="5"/>
  <c r="AE44" i="9"/>
  <c r="AF24" i="5" s="1"/>
  <c r="AD44" i="9"/>
  <c r="AE24" i="5" s="1"/>
  <c r="AC44" i="9"/>
  <c r="AB44" i="9"/>
  <c r="AA44" i="9"/>
  <c r="Z44" i="9"/>
  <c r="AA24" i="5" s="1"/>
  <c r="Y44" i="9"/>
  <c r="Z24" i="5" s="1"/>
  <c r="C57" i="8"/>
  <c r="C56" i="8"/>
  <c r="C55" i="8"/>
  <c r="AE55" i="8"/>
  <c r="AF19" i="5" s="1"/>
  <c r="AE56" i="8"/>
  <c r="AF20" i="5" s="1"/>
  <c r="AE57" i="8"/>
  <c r="AF21" i="5" s="1"/>
  <c r="AD55" i="8"/>
  <c r="AE19" i="5" s="1"/>
  <c r="AD56" i="8"/>
  <c r="AE20" i="5" s="1"/>
  <c r="AD57" i="8"/>
  <c r="AE21" i="5" s="1"/>
  <c r="AC55" i="8"/>
  <c r="AC56" i="8"/>
  <c r="AC57" i="8"/>
  <c r="AB55" i="8"/>
  <c r="AB56" i="8"/>
  <c r="AB57" i="8"/>
  <c r="AA55" i="8"/>
  <c r="AA56" i="8"/>
  <c r="AA57" i="8"/>
  <c r="Z55" i="8"/>
  <c r="AA19" i="5" s="1"/>
  <c r="Z56" i="8"/>
  <c r="AA20" i="5" s="1"/>
  <c r="Z57" i="8"/>
  <c r="AA21" i="5" s="1"/>
  <c r="Y55" i="8"/>
  <c r="Z19" i="5" s="1"/>
  <c r="Y56" i="8"/>
  <c r="Z20" i="5" s="1"/>
  <c r="Y57" i="8"/>
  <c r="Z21" i="5" s="1"/>
  <c r="AE54" i="8"/>
  <c r="AF18" i="5" s="1"/>
  <c r="AD54" i="8"/>
  <c r="AE18" i="5" s="1"/>
  <c r="AC54" i="8"/>
  <c r="AB54" i="8"/>
  <c r="AA54" i="8"/>
  <c r="AB18" i="5" s="1"/>
  <c r="Z54" i="8"/>
  <c r="Y54" i="8"/>
  <c r="Z18" i="5" s="1"/>
  <c r="AE52" i="8"/>
  <c r="AF17" i="5" s="1"/>
  <c r="AD52" i="8"/>
  <c r="AE17" i="5" s="1"/>
  <c r="AC52" i="8"/>
  <c r="AB52" i="8"/>
  <c r="AA52" i="8"/>
  <c r="Z52" i="8"/>
  <c r="AA17" i="5" s="1"/>
  <c r="Y52" i="8"/>
  <c r="Z17" i="5" s="1"/>
  <c r="D17" i="5"/>
  <c r="AE51" i="8"/>
  <c r="AF16" i="5" s="1"/>
  <c r="AD51" i="8"/>
  <c r="AE16" i="5" s="1"/>
  <c r="AC51" i="8"/>
  <c r="AB51" i="8"/>
  <c r="AA51" i="8"/>
  <c r="Z51" i="8"/>
  <c r="AA16" i="5" s="1"/>
  <c r="Y51" i="8"/>
  <c r="Z16" i="5" s="1"/>
  <c r="C51" i="8"/>
  <c r="C50" i="8"/>
  <c r="AE42" i="8"/>
  <c r="AD42" i="8"/>
  <c r="AC42" i="8"/>
  <c r="AE41" i="8"/>
  <c r="AD41" i="8"/>
  <c r="AC41" i="8"/>
  <c r="AB41" i="8"/>
  <c r="AA41" i="8"/>
  <c r="Z41" i="8"/>
  <c r="AE50" i="8"/>
  <c r="AF15" i="5" s="1"/>
  <c r="AD50" i="8"/>
  <c r="AE15" i="5" s="1"/>
  <c r="AC50" i="8"/>
  <c r="AB50" i="8"/>
  <c r="AA50" i="8"/>
  <c r="Z50" i="8"/>
  <c r="AA15" i="5" s="1"/>
  <c r="Y50" i="8"/>
  <c r="Z15" i="5" s="1"/>
  <c r="E117" i="18" l="1"/>
  <c r="E116" i="18"/>
  <c r="D20" i="5"/>
  <c r="D21" i="20"/>
  <c r="D32" i="5"/>
  <c r="D33" i="20"/>
  <c r="D34" i="5"/>
  <c r="D35" i="20"/>
  <c r="D35" i="5"/>
  <c r="D36" i="20"/>
  <c r="D39" i="5"/>
  <c r="D40" i="20"/>
  <c r="D36" i="5"/>
  <c r="D37" i="20"/>
  <c r="D21" i="5"/>
  <c r="D22" i="20"/>
  <c r="D15" i="5"/>
  <c r="D15" i="20"/>
  <c r="D40" i="5"/>
  <c r="D41" i="20"/>
  <c r="D37" i="5"/>
  <c r="D38" i="20"/>
  <c r="D16" i="5"/>
  <c r="D16" i="20"/>
  <c r="D19" i="5"/>
  <c r="D20" i="20"/>
  <c r="D38" i="5"/>
  <c r="D39" i="20"/>
  <c r="D50" i="5"/>
  <c r="D51" i="20"/>
  <c r="D57" i="5"/>
  <c r="D58" i="20"/>
  <c r="D53" i="5"/>
  <c r="D54" i="20"/>
  <c r="D49" i="5"/>
  <c r="D50" i="20"/>
  <c r="D45" i="5"/>
  <c r="D46" i="20"/>
  <c r="D56" i="5"/>
  <c r="D57" i="20"/>
  <c r="D58" i="5"/>
  <c r="D59" i="20"/>
  <c r="D42" i="5"/>
  <c r="D43" i="20"/>
  <c r="D52" i="5"/>
  <c r="D53" i="20"/>
  <c r="D48" i="5"/>
  <c r="D44" i="5"/>
  <c r="D45" i="20"/>
  <c r="D55" i="5"/>
  <c r="D56" i="20"/>
  <c r="D46" i="5"/>
  <c r="D47" i="20"/>
  <c r="D51" i="5"/>
  <c r="D52" i="20"/>
  <c r="D47" i="5"/>
  <c r="D48" i="20"/>
  <c r="D43" i="5"/>
  <c r="D44" i="20"/>
  <c r="D54" i="5"/>
  <c r="D55" i="20"/>
  <c r="C30" i="10"/>
  <c r="C31" i="9"/>
  <c r="AE35" i="4"/>
  <c r="K99" i="18" s="1"/>
  <c r="AD35" i="4"/>
  <c r="J99" i="18" s="1"/>
  <c r="AC35" i="4"/>
  <c r="I99" i="18" s="1"/>
  <c r="AB35" i="4"/>
  <c r="H99" i="18" s="1"/>
  <c r="AA35" i="4"/>
  <c r="G99" i="18" s="1"/>
  <c r="Z35" i="4"/>
  <c r="AE34" i="4"/>
  <c r="AD34" i="4"/>
  <c r="AC34" i="4"/>
  <c r="AB34" i="4"/>
  <c r="AA34" i="4"/>
  <c r="Z34" i="4"/>
  <c r="AF9" i="5"/>
  <c r="AE48" i="4"/>
  <c r="AF10" i="5" s="1"/>
  <c r="AE50" i="4"/>
  <c r="AF11" i="5" s="1"/>
  <c r="AE51" i="4"/>
  <c r="AF12" i="5" s="1"/>
  <c r="AE52" i="4"/>
  <c r="AF13" i="5" s="1"/>
  <c r="AE9" i="5"/>
  <c r="AD48" i="4"/>
  <c r="AE10" i="5" s="1"/>
  <c r="AD50" i="4"/>
  <c r="AE11" i="5" s="1"/>
  <c r="AD51" i="4"/>
  <c r="AE12" i="5" s="1"/>
  <c r="AD52" i="4"/>
  <c r="AE13" i="5" s="1"/>
  <c r="AC48" i="4"/>
  <c r="AC50" i="4"/>
  <c r="AC51" i="4"/>
  <c r="AC52" i="4"/>
  <c r="AB48" i="4"/>
  <c r="AB50" i="4"/>
  <c r="AB51" i="4"/>
  <c r="AB52" i="4"/>
  <c r="AA48" i="4"/>
  <c r="AA50" i="4"/>
  <c r="AA51" i="4"/>
  <c r="AA52" i="4"/>
  <c r="AA9" i="5"/>
  <c r="Z48" i="4"/>
  <c r="AA10" i="5" s="1"/>
  <c r="Z50" i="4"/>
  <c r="AA11" i="5" s="1"/>
  <c r="Z51" i="4"/>
  <c r="AA12" i="5" s="1"/>
  <c r="Z52" i="4"/>
  <c r="AA13" i="5" s="1"/>
  <c r="AE47" i="4"/>
  <c r="AD47" i="4"/>
  <c r="AC47" i="4"/>
  <c r="AB47" i="4"/>
  <c r="AA47" i="4"/>
  <c r="Z47" i="4"/>
  <c r="Z9" i="5"/>
  <c r="Y48" i="4"/>
  <c r="Z10" i="5" s="1"/>
  <c r="Y50" i="4"/>
  <c r="Z11" i="5" s="1"/>
  <c r="Y51" i="4"/>
  <c r="Z12" i="5" s="1"/>
  <c r="Y52" i="4"/>
  <c r="Z13" i="5" s="1"/>
  <c r="Y47" i="4"/>
  <c r="C47" i="4"/>
  <c r="AB40" i="4"/>
  <c r="H106" i="18" s="1"/>
  <c r="AB41" i="4"/>
  <c r="H107" i="18" s="1"/>
  <c r="AD40" i="4"/>
  <c r="J106" i="18" s="1"/>
  <c r="AD41" i="4"/>
  <c r="J107" i="18" s="1"/>
  <c r="AD42" i="4"/>
  <c r="J108" i="18" s="1"/>
  <c r="AD39" i="4"/>
  <c r="J105" i="18" s="1"/>
  <c r="AE40" i="4"/>
  <c r="K106" i="18" s="1"/>
  <c r="AE41" i="4"/>
  <c r="K107" i="18" s="1"/>
  <c r="AE42" i="4"/>
  <c r="K108" i="18" s="1"/>
  <c r="AE39" i="4"/>
  <c r="K105" i="18" s="1"/>
  <c r="AD36" i="4"/>
  <c r="AC40" i="4"/>
  <c r="I106" i="18" s="1"/>
  <c r="AC41" i="4"/>
  <c r="I107" i="18" s="1"/>
  <c r="AC42" i="4"/>
  <c r="I108" i="18" s="1"/>
  <c r="Z40" i="4"/>
  <c r="Z41" i="4"/>
  <c r="Z42" i="4"/>
  <c r="AC39" i="4"/>
  <c r="I105" i="18" s="1"/>
  <c r="Z39" i="4"/>
  <c r="AB39" i="4"/>
  <c r="H105" i="18" s="1"/>
  <c r="AE36" i="4"/>
  <c r="AC36" i="4"/>
  <c r="AB36" i="4"/>
  <c r="AA36" i="4"/>
  <c r="Z36" i="4"/>
  <c r="Y41" i="4" l="1"/>
  <c r="F107" i="18"/>
  <c r="E107" i="18" s="1"/>
  <c r="Y39" i="4"/>
  <c r="F105" i="18"/>
  <c r="E105" i="18" s="1"/>
  <c r="Y40" i="4"/>
  <c r="F106" i="18"/>
  <c r="E106" i="18" s="1"/>
  <c r="G98" i="18"/>
  <c r="K98" i="18"/>
  <c r="H98" i="18"/>
  <c r="Y35" i="4"/>
  <c r="F99" i="18"/>
  <c r="E99" i="18" s="1"/>
  <c r="Y36" i="4"/>
  <c r="F108" i="18"/>
  <c r="I98" i="18"/>
  <c r="Y34" i="4"/>
  <c r="F98" i="18"/>
  <c r="J98" i="18"/>
  <c r="AC43" i="4"/>
  <c r="Z43" i="4"/>
  <c r="AE43" i="4"/>
  <c r="AD43" i="4"/>
  <c r="AA43" i="4"/>
  <c r="R39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AE30" i="10"/>
  <c r="AE31" i="10" s="1"/>
  <c r="AD30" i="10"/>
  <c r="AD31" i="10" s="1"/>
  <c r="AC30" i="10"/>
  <c r="AC31" i="10" s="1"/>
  <c r="AB30" i="10"/>
  <c r="AB31" i="10" s="1"/>
  <c r="AA30" i="10"/>
  <c r="AA31" i="10" s="1"/>
  <c r="Z30" i="10"/>
  <c r="AE31" i="9"/>
  <c r="AD31" i="9"/>
  <c r="AC31" i="9"/>
  <c r="AB31" i="9"/>
  <c r="AA31" i="9"/>
  <c r="Z31" i="9"/>
  <c r="AE38" i="8"/>
  <c r="AD38" i="8"/>
  <c r="J102" i="18" s="1"/>
  <c r="AC38" i="8"/>
  <c r="AB36" i="8"/>
  <c r="AC36" i="8"/>
  <c r="AC37" i="8"/>
  <c r="AE36" i="8"/>
  <c r="AE37" i="8"/>
  <c r="AD37" i="8"/>
  <c r="AA36" i="8"/>
  <c r="Z36" i="8"/>
  <c r="AD23" i="8"/>
  <c r="AC23" i="8"/>
  <c r="AC25" i="8" s="1"/>
  <c r="AB23" i="8"/>
  <c r="AB25" i="8" s="1"/>
  <c r="AA23" i="8"/>
  <c r="Z23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G30" i="8"/>
  <c r="AE28" i="8"/>
  <c r="AD28" i="8"/>
  <c r="AC28" i="8"/>
  <c r="AE29" i="8"/>
  <c r="AD29" i="8"/>
  <c r="AC29" i="8"/>
  <c r="AE27" i="8"/>
  <c r="AD27" i="8"/>
  <c r="AC27" i="8"/>
  <c r="AB27" i="8"/>
  <c r="AA27" i="8"/>
  <c r="Z27" i="8"/>
  <c r="AE22" i="9"/>
  <c r="K50" i="18" s="1"/>
  <c r="AD22" i="9"/>
  <c r="J50" i="18" s="1"/>
  <c r="AC22" i="9"/>
  <c r="I50" i="18" s="1"/>
  <c r="AB22" i="9"/>
  <c r="H50" i="18" s="1"/>
  <c r="AA22" i="9"/>
  <c r="G50" i="18" s="1"/>
  <c r="Z22" i="9"/>
  <c r="F50" i="18" s="1"/>
  <c r="AE21" i="9"/>
  <c r="K47" i="18" s="1"/>
  <c r="AD21" i="9"/>
  <c r="J47" i="18" s="1"/>
  <c r="AC21" i="9"/>
  <c r="I47" i="18" s="1"/>
  <c r="AB21" i="9"/>
  <c r="H47" i="18" s="1"/>
  <c r="AA21" i="9"/>
  <c r="G47" i="18" s="1"/>
  <c r="Z21" i="9"/>
  <c r="F47" i="18" s="1"/>
  <c r="Z31" i="10" l="1"/>
  <c r="Y30" i="10"/>
  <c r="Y31" i="10" s="1"/>
  <c r="Z25" i="8"/>
  <c r="Y23" i="8"/>
  <c r="Y25" i="8" s="1"/>
  <c r="AD25" i="8"/>
  <c r="J35" i="18"/>
  <c r="J37" i="18" s="1"/>
  <c r="AA25" i="8"/>
  <c r="G35" i="18"/>
  <c r="E98" i="18"/>
  <c r="J101" i="18"/>
  <c r="E47" i="18"/>
  <c r="E50" i="18"/>
  <c r="G100" i="18"/>
  <c r="G103" i="18" s="1"/>
  <c r="K100" i="18"/>
  <c r="K103" i="18" s="1"/>
  <c r="J100" i="18"/>
  <c r="J103" i="18" s="1"/>
  <c r="Y30" i="8"/>
  <c r="AC30" i="8"/>
  <c r="Z30" i="8"/>
  <c r="AD30" i="8"/>
  <c r="AA30" i="8"/>
  <c r="AE30" i="8"/>
  <c r="AB30" i="8"/>
  <c r="E35" i="18" l="1"/>
  <c r="E37" i="18" s="1"/>
  <c r="G37" i="18"/>
  <c r="E100" i="18"/>
  <c r="E103" i="18" s="1"/>
  <c r="C21" i="10"/>
  <c r="C26" i="10"/>
  <c r="C29" i="4"/>
  <c r="C22" i="10" l="1"/>
  <c r="C12" i="10"/>
  <c r="C13" i="10"/>
  <c r="C14" i="10"/>
  <c r="C15" i="10"/>
  <c r="C17" i="10"/>
  <c r="C11" i="10"/>
  <c r="C28" i="9"/>
  <c r="C25" i="9"/>
  <c r="C33" i="8"/>
  <c r="C32" i="8"/>
  <c r="I72" i="18" l="1"/>
  <c r="H73" i="18"/>
  <c r="H72" i="18"/>
  <c r="G73" i="18"/>
  <c r="G72" i="18"/>
  <c r="F73" i="18"/>
  <c r="F72" i="18"/>
  <c r="I56" i="18"/>
  <c r="I57" i="18"/>
  <c r="I58" i="18"/>
  <c r="I59" i="18"/>
  <c r="I60" i="18"/>
  <c r="I61" i="18"/>
  <c r="I62" i="18"/>
  <c r="I63" i="18"/>
  <c r="I65" i="18"/>
  <c r="I64" i="18"/>
  <c r="I46" i="18"/>
  <c r="H56" i="18"/>
  <c r="H57" i="18"/>
  <c r="H58" i="18"/>
  <c r="H59" i="18"/>
  <c r="H60" i="18"/>
  <c r="H61" i="18"/>
  <c r="H63" i="18"/>
  <c r="H65" i="18"/>
  <c r="H64" i="18"/>
  <c r="H46" i="18"/>
  <c r="G56" i="18"/>
  <c r="G57" i="18"/>
  <c r="G58" i="18"/>
  <c r="G59" i="18"/>
  <c r="G60" i="18"/>
  <c r="G61" i="18"/>
  <c r="G62" i="18"/>
  <c r="G63" i="18"/>
  <c r="G65" i="18"/>
  <c r="G64" i="18"/>
  <c r="G46" i="18"/>
  <c r="F56" i="18"/>
  <c r="F57" i="18"/>
  <c r="F58" i="18"/>
  <c r="F59" i="18"/>
  <c r="F60" i="18"/>
  <c r="F61" i="18"/>
  <c r="F62" i="18"/>
  <c r="F63" i="18"/>
  <c r="F65" i="18"/>
  <c r="F64" i="18"/>
  <c r="F46" i="18"/>
  <c r="K124" i="18"/>
  <c r="K125" i="18"/>
  <c r="K126" i="18"/>
  <c r="J124" i="18"/>
  <c r="J125" i="18"/>
  <c r="J126" i="18"/>
  <c r="I124" i="18"/>
  <c r="I125" i="18"/>
  <c r="I126" i="18"/>
  <c r="H124" i="18"/>
  <c r="H125" i="18"/>
  <c r="H126" i="18"/>
  <c r="G124" i="18"/>
  <c r="G126" i="18"/>
  <c r="F124" i="18"/>
  <c r="F125" i="18"/>
  <c r="I73" i="18"/>
  <c r="Z25" i="9"/>
  <c r="Z26" i="9" s="1"/>
  <c r="AB20" i="9"/>
  <c r="H41" i="18" s="1"/>
  <c r="AA20" i="9"/>
  <c r="G41" i="18" s="1"/>
  <c r="Z20" i="9"/>
  <c r="G25" i="18"/>
  <c r="AA11" i="9"/>
  <c r="Z11" i="9"/>
  <c r="AA34" i="9"/>
  <c r="G113" i="18" s="1"/>
  <c r="Z34" i="9"/>
  <c r="F113" i="18" s="1"/>
  <c r="AD34" i="10"/>
  <c r="J119" i="18" s="1"/>
  <c r="AD35" i="10"/>
  <c r="J120" i="18" s="1"/>
  <c r="AD36" i="10"/>
  <c r="J121" i="18" s="1"/>
  <c r="AD37" i="10"/>
  <c r="J122" i="18" s="1"/>
  <c r="AD38" i="10"/>
  <c r="J123" i="18" s="1"/>
  <c r="AD33" i="10"/>
  <c r="J118" i="18" s="1"/>
  <c r="AA34" i="10"/>
  <c r="G119" i="18" s="1"/>
  <c r="AA35" i="10"/>
  <c r="G120" i="18" s="1"/>
  <c r="AA36" i="10"/>
  <c r="G121" i="18" s="1"/>
  <c r="AA37" i="10"/>
  <c r="G122" i="18" s="1"/>
  <c r="AA38" i="10"/>
  <c r="G123" i="18" s="1"/>
  <c r="AA33" i="10"/>
  <c r="G118" i="18" s="1"/>
  <c r="AA22" i="10"/>
  <c r="AA23" i="10"/>
  <c r="G66" i="18" s="1"/>
  <c r="AB12" i="10"/>
  <c r="H40" i="18" s="1"/>
  <c r="AA12" i="10"/>
  <c r="G40" i="18" s="1"/>
  <c r="Z12" i="10"/>
  <c r="AB11" i="10"/>
  <c r="AA11" i="10"/>
  <c r="Z11" i="10"/>
  <c r="AA13" i="10"/>
  <c r="G43" i="18" s="1"/>
  <c r="AA14" i="10"/>
  <c r="G44" i="18" s="1"/>
  <c r="AA15" i="10"/>
  <c r="G45" i="18" s="1"/>
  <c r="AA16" i="10"/>
  <c r="AA17" i="10"/>
  <c r="G49" i="18" s="1"/>
  <c r="AA18" i="10"/>
  <c r="G51" i="18" s="1"/>
  <c r="AB15" i="10"/>
  <c r="H45" i="18" s="1"/>
  <c r="Z15" i="10"/>
  <c r="AB14" i="10"/>
  <c r="H44" i="18" s="1"/>
  <c r="Z14" i="10"/>
  <c r="AE34" i="10"/>
  <c r="K119" i="18" s="1"/>
  <c r="AE35" i="10"/>
  <c r="K120" i="18" s="1"/>
  <c r="AE36" i="10"/>
  <c r="K121" i="18" s="1"/>
  <c r="AE37" i="10"/>
  <c r="K122" i="18" s="1"/>
  <c r="AE38" i="10"/>
  <c r="K123" i="18" s="1"/>
  <c r="H120" i="18"/>
  <c r="Z34" i="10"/>
  <c r="Z35" i="10"/>
  <c r="Z36" i="10"/>
  <c r="Z37" i="10"/>
  <c r="Z38" i="10"/>
  <c r="AD23" i="10"/>
  <c r="J66" i="18" s="1"/>
  <c r="AC12" i="10"/>
  <c r="I40" i="18" s="1"/>
  <c r="AC13" i="10"/>
  <c r="I43" i="18" s="1"/>
  <c r="AC14" i="10"/>
  <c r="I44" i="18" s="1"/>
  <c r="AC15" i="10"/>
  <c r="I45" i="18" s="1"/>
  <c r="AC16" i="10"/>
  <c r="I48" i="18" s="1"/>
  <c r="AC17" i="10"/>
  <c r="I49" i="18" s="1"/>
  <c r="AC18" i="10"/>
  <c r="I51" i="18" s="1"/>
  <c r="AB13" i="10"/>
  <c r="H43" i="18" s="1"/>
  <c r="AB16" i="10"/>
  <c r="AB17" i="10"/>
  <c r="H49" i="18" s="1"/>
  <c r="AB18" i="10"/>
  <c r="H51" i="18" s="1"/>
  <c r="Z13" i="10"/>
  <c r="Z16" i="10"/>
  <c r="Z17" i="10"/>
  <c r="AC11" i="10"/>
  <c r="Z33" i="10"/>
  <c r="AA27" i="10"/>
  <c r="Y27" i="10" s="1"/>
  <c r="AA26" i="10"/>
  <c r="AB27" i="10"/>
  <c r="AB26" i="10"/>
  <c r="AB22" i="10"/>
  <c r="AB23" i="10"/>
  <c r="H66" i="18" s="1"/>
  <c r="Z22" i="10"/>
  <c r="Z23" i="10"/>
  <c r="Z18" i="10"/>
  <c r="Y22" i="10" l="1"/>
  <c r="AC19" i="10"/>
  <c r="Y38" i="10"/>
  <c r="F123" i="18"/>
  <c r="E123" i="18" s="1"/>
  <c r="Y34" i="10"/>
  <c r="F119" i="18"/>
  <c r="E119" i="18" s="1"/>
  <c r="Y12" i="10"/>
  <c r="F40" i="18"/>
  <c r="E40" i="18" s="1"/>
  <c r="Y23" i="10"/>
  <c r="F66" i="18"/>
  <c r="E66" i="18" s="1"/>
  <c r="Y13" i="10"/>
  <c r="F43" i="18"/>
  <c r="E43" i="18" s="1"/>
  <c r="Y17" i="10"/>
  <c r="F49" i="18"/>
  <c r="E49" i="18" s="1"/>
  <c r="Y33" i="10"/>
  <c r="F118" i="18"/>
  <c r="E118" i="18" s="1"/>
  <c r="F120" i="18"/>
  <c r="E120" i="18" s="1"/>
  <c r="Y35" i="10"/>
  <c r="Y14" i="10"/>
  <c r="F44" i="18"/>
  <c r="E44" i="18" s="1"/>
  <c r="Y26" i="10"/>
  <c r="Y37" i="10"/>
  <c r="F122" i="18"/>
  <c r="E122" i="18" s="1"/>
  <c r="Y15" i="10"/>
  <c r="F45" i="18"/>
  <c r="E45" i="18" s="1"/>
  <c r="Y11" i="10"/>
  <c r="Y36" i="10"/>
  <c r="F121" i="18"/>
  <c r="E121" i="18" s="1"/>
  <c r="Y18" i="10"/>
  <c r="F51" i="18"/>
  <c r="E51" i="18" s="1"/>
  <c r="AB19" i="10"/>
  <c r="H48" i="18"/>
  <c r="AA19" i="10"/>
  <c r="G48" i="18"/>
  <c r="Z19" i="10"/>
  <c r="Y16" i="10"/>
  <c r="F48" i="18"/>
  <c r="F126" i="18"/>
  <c r="G125" i="18"/>
  <c r="G128" i="18" s="1"/>
  <c r="E126" i="18"/>
  <c r="E62" i="18"/>
  <c r="E58" i="18"/>
  <c r="E46" i="18"/>
  <c r="F41" i="18"/>
  <c r="F42" i="18"/>
  <c r="H42" i="18"/>
  <c r="I42" i="18"/>
  <c r="G42" i="18"/>
  <c r="E65" i="18"/>
  <c r="E60" i="18"/>
  <c r="E56" i="18"/>
  <c r="E73" i="18"/>
  <c r="F39" i="18"/>
  <c r="Z12" i="9"/>
  <c r="F15" i="18"/>
  <c r="AA12" i="9"/>
  <c r="G15" i="18"/>
  <c r="G19" i="18" s="1"/>
  <c r="F55" i="18"/>
  <c r="F67" i="18" s="1"/>
  <c r="E125" i="18"/>
  <c r="E64" i="18"/>
  <c r="E61" i="18"/>
  <c r="E57" i="18"/>
  <c r="E72" i="18"/>
  <c r="F74" i="18"/>
  <c r="H74" i="18"/>
  <c r="E124" i="18"/>
  <c r="E63" i="18"/>
  <c r="E59" i="18"/>
  <c r="G67" i="18"/>
  <c r="G74" i="18"/>
  <c r="I74" i="18"/>
  <c r="Y16" i="9"/>
  <c r="Z39" i="10"/>
  <c r="AA39" i="9"/>
  <c r="AA39" i="10"/>
  <c r="Y39" i="9"/>
  <c r="Z39" i="9"/>
  <c r="K65" i="18"/>
  <c r="J65" i="18"/>
  <c r="AE44" i="8"/>
  <c r="AD44" i="8"/>
  <c r="AC44" i="8"/>
  <c r="AE43" i="8"/>
  <c r="AD43" i="8"/>
  <c r="AC43" i="8"/>
  <c r="J46" i="18"/>
  <c r="AC28" i="10"/>
  <c r="AB28" i="10"/>
  <c r="AA28" i="10"/>
  <c r="AC34" i="9"/>
  <c r="I113" i="18" s="1"/>
  <c r="I128" i="18" s="1"/>
  <c r="AB34" i="9"/>
  <c r="H113" i="18" s="1"/>
  <c r="AC20" i="9"/>
  <c r="I41" i="18" s="1"/>
  <c r="AC15" i="9"/>
  <c r="I26" i="18" s="1"/>
  <c r="AB15" i="9"/>
  <c r="H26" i="18" s="1"/>
  <c r="AA15" i="9"/>
  <c r="Z15" i="9"/>
  <c r="F26" i="18" s="1"/>
  <c r="AC28" i="9"/>
  <c r="AC29" i="9" s="1"/>
  <c r="AB28" i="9"/>
  <c r="AB29" i="9" s="1"/>
  <c r="AA28" i="9"/>
  <c r="AA29" i="9" s="1"/>
  <c r="Z28" i="9"/>
  <c r="Z29" i="9" s="1"/>
  <c r="AA32" i="9"/>
  <c r="Z32" i="9"/>
  <c r="AC25" i="9"/>
  <c r="AC26" i="9" s="1"/>
  <c r="AB25" i="9"/>
  <c r="AB26" i="9" s="1"/>
  <c r="AA25" i="9"/>
  <c r="AA26" i="9" s="1"/>
  <c r="AC18" i="9"/>
  <c r="I39" i="18" s="1"/>
  <c r="AB18" i="9"/>
  <c r="AA18" i="9"/>
  <c r="Z18" i="9"/>
  <c r="Z23" i="9" s="1"/>
  <c r="AC14" i="9"/>
  <c r="I25" i="18" s="1"/>
  <c r="AB14" i="9"/>
  <c r="H25" i="18" s="1"/>
  <c r="AC11" i="9"/>
  <c r="AB11" i="9"/>
  <c r="AC33" i="8"/>
  <c r="AC32" i="8"/>
  <c r="AB32" i="8"/>
  <c r="AA32" i="8"/>
  <c r="Z32" i="8"/>
  <c r="AC16" i="8"/>
  <c r="AB16" i="8"/>
  <c r="AA16" i="8"/>
  <c r="Z16" i="8"/>
  <c r="AC12" i="8"/>
  <c r="I13" i="18" s="1"/>
  <c r="AC13" i="8"/>
  <c r="AB12" i="8"/>
  <c r="AB13" i="8"/>
  <c r="F13" i="18"/>
  <c r="AC11" i="8"/>
  <c r="I10" i="18" s="1"/>
  <c r="AB11" i="8"/>
  <c r="H10" i="18" s="1"/>
  <c r="AA11" i="8"/>
  <c r="G10" i="18" s="1"/>
  <c r="Z11" i="8"/>
  <c r="AD33" i="8"/>
  <c r="AD32" i="8"/>
  <c r="AE33" i="8"/>
  <c r="AE32" i="8"/>
  <c r="AE17" i="8"/>
  <c r="AE18" i="8"/>
  <c r="AE19" i="8"/>
  <c r="K24" i="18" s="1"/>
  <c r="AE16" i="8"/>
  <c r="AD16" i="8"/>
  <c r="AE12" i="8"/>
  <c r="K13" i="18" s="1"/>
  <c r="AE13" i="8"/>
  <c r="AD12" i="8"/>
  <c r="J13" i="18" s="1"/>
  <c r="AD13" i="8"/>
  <c r="J14" i="18" s="1"/>
  <c r="AE11" i="8"/>
  <c r="K10" i="18" s="1"/>
  <c r="AD11" i="8"/>
  <c r="J10" i="18" s="1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AE34" i="9"/>
  <c r="K113" i="18" s="1"/>
  <c r="AD34" i="9"/>
  <c r="J113" i="18" s="1"/>
  <c r="J128" i="18" s="1"/>
  <c r="AE28" i="9"/>
  <c r="AE29" i="9" s="1"/>
  <c r="AD28" i="9"/>
  <c r="AD29" i="9" s="1"/>
  <c r="Y29" i="9"/>
  <c r="AE32" i="9"/>
  <c r="Y32" i="9"/>
  <c r="AE25" i="9"/>
  <c r="AE26" i="9" s="1"/>
  <c r="AD25" i="9"/>
  <c r="AD26" i="9" s="1"/>
  <c r="Y26" i="9"/>
  <c r="AE20" i="9"/>
  <c r="K41" i="18" s="1"/>
  <c r="AE18" i="9"/>
  <c r="AD20" i="9"/>
  <c r="J41" i="18" s="1"/>
  <c r="AD18" i="9"/>
  <c r="J39" i="18" s="1"/>
  <c r="AE15" i="9"/>
  <c r="K26" i="18" s="1"/>
  <c r="AD15" i="9"/>
  <c r="J26" i="18" s="1"/>
  <c r="J25" i="18"/>
  <c r="AE11" i="9"/>
  <c r="AD11" i="9"/>
  <c r="Y12" i="9"/>
  <c r="K73" i="18"/>
  <c r="K72" i="18"/>
  <c r="K56" i="18"/>
  <c r="K57" i="18"/>
  <c r="K58" i="18"/>
  <c r="K59" i="18"/>
  <c r="K60" i="18"/>
  <c r="K61" i="18"/>
  <c r="K62" i="18"/>
  <c r="K63" i="18"/>
  <c r="K64" i="18"/>
  <c r="K46" i="18"/>
  <c r="J73" i="18"/>
  <c r="J72" i="18"/>
  <c r="J56" i="18"/>
  <c r="J57" i="18"/>
  <c r="J58" i="18"/>
  <c r="J59" i="18"/>
  <c r="J60" i="18"/>
  <c r="J61" i="18"/>
  <c r="J62" i="18"/>
  <c r="J63" i="18"/>
  <c r="J64" i="18"/>
  <c r="AE33" i="10"/>
  <c r="K118" i="18" s="1"/>
  <c r="AE27" i="10"/>
  <c r="AE26" i="10"/>
  <c r="AD27" i="10"/>
  <c r="AD26" i="10"/>
  <c r="AE22" i="10"/>
  <c r="AE23" i="10"/>
  <c r="K66" i="18" s="1"/>
  <c r="AE21" i="10"/>
  <c r="K54" i="18" s="1"/>
  <c r="AD22" i="10"/>
  <c r="AE12" i="10"/>
  <c r="K40" i="18" s="1"/>
  <c r="AE13" i="10"/>
  <c r="K43" i="18" s="1"/>
  <c r="AE14" i="10"/>
  <c r="K44" i="18" s="1"/>
  <c r="AE15" i="10"/>
  <c r="K45" i="18" s="1"/>
  <c r="AE17" i="10"/>
  <c r="K49" i="18" s="1"/>
  <c r="AE18" i="10"/>
  <c r="K51" i="18" s="1"/>
  <c r="AE11" i="10"/>
  <c r="X39" i="10"/>
  <c r="W39" i="10"/>
  <c r="V39" i="10"/>
  <c r="U39" i="10"/>
  <c r="T39" i="10"/>
  <c r="S39" i="10"/>
  <c r="Q39" i="10"/>
  <c r="P39" i="10"/>
  <c r="O39" i="10"/>
  <c r="N39" i="10"/>
  <c r="M39" i="10"/>
  <c r="L39" i="10"/>
  <c r="K39" i="10"/>
  <c r="J39" i="10"/>
  <c r="I39" i="10"/>
  <c r="H39" i="10"/>
  <c r="G39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C27" i="10"/>
  <c r="W24" i="10"/>
  <c r="V24" i="10"/>
  <c r="U24" i="10"/>
  <c r="T24" i="10"/>
  <c r="S24" i="10"/>
  <c r="R24" i="10"/>
  <c r="Q24" i="10"/>
  <c r="Q40" i="10" s="1"/>
  <c r="P24" i="10"/>
  <c r="N24" i="10"/>
  <c r="M24" i="10"/>
  <c r="M40" i="10" s="1"/>
  <c r="L24" i="10"/>
  <c r="K24" i="10"/>
  <c r="K40" i="10" s="1"/>
  <c r="J24" i="10"/>
  <c r="I24" i="10"/>
  <c r="I40" i="10" s="1"/>
  <c r="H24" i="10"/>
  <c r="G24" i="10"/>
  <c r="G40" i="10" s="1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X23" i="9"/>
  <c r="X40" i="9" s="1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X16" i="9"/>
  <c r="W16" i="9"/>
  <c r="V16" i="9"/>
  <c r="U16" i="9"/>
  <c r="T16" i="9"/>
  <c r="S16" i="9"/>
  <c r="R16" i="9"/>
  <c r="Q16" i="9"/>
  <c r="P16" i="9"/>
  <c r="N16" i="9"/>
  <c r="M16" i="9"/>
  <c r="L16" i="9"/>
  <c r="K16" i="9"/>
  <c r="J16" i="9"/>
  <c r="I16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X14" i="8"/>
  <c r="W14" i="8"/>
  <c r="W46" i="8" s="1"/>
  <c r="V14" i="8"/>
  <c r="V46" i="8" s="1"/>
  <c r="U14" i="8"/>
  <c r="U46" i="8" s="1"/>
  <c r="T14" i="8"/>
  <c r="T46" i="8" s="1"/>
  <c r="S14" i="8"/>
  <c r="S46" i="8" s="1"/>
  <c r="R14" i="8"/>
  <c r="R46" i="8" s="1"/>
  <c r="Q14" i="8"/>
  <c r="Q46" i="8" s="1"/>
  <c r="P14" i="8"/>
  <c r="P46" i="8" s="1"/>
  <c r="O14" i="8"/>
  <c r="O46" i="8" s="1"/>
  <c r="N14" i="8"/>
  <c r="N46" i="8" s="1"/>
  <c r="M14" i="8"/>
  <c r="M46" i="8" s="1"/>
  <c r="L14" i="8"/>
  <c r="L46" i="8" s="1"/>
  <c r="K14" i="8"/>
  <c r="K46" i="8" s="1"/>
  <c r="J14" i="8"/>
  <c r="J46" i="8" s="1"/>
  <c r="I14" i="8"/>
  <c r="I46" i="8" s="1"/>
  <c r="H14" i="8"/>
  <c r="H46" i="8" s="1"/>
  <c r="T40" i="10" l="1"/>
  <c r="Y39" i="10"/>
  <c r="J40" i="10"/>
  <c r="N40" i="10"/>
  <c r="K128" i="18"/>
  <c r="F128" i="18"/>
  <c r="P40" i="10"/>
  <c r="H40" i="10"/>
  <c r="L40" i="10"/>
  <c r="Y19" i="10"/>
  <c r="AE19" i="10"/>
  <c r="K48" i="18"/>
  <c r="E48" i="18"/>
  <c r="Y13" i="8"/>
  <c r="I14" i="18"/>
  <c r="E14" i="18" s="1"/>
  <c r="Y11" i="8"/>
  <c r="F10" i="18"/>
  <c r="E10" i="18" s="1"/>
  <c r="H28" i="18"/>
  <c r="E113" i="18"/>
  <c r="E42" i="18"/>
  <c r="E41" i="18"/>
  <c r="I28" i="18"/>
  <c r="K42" i="18"/>
  <c r="J42" i="18"/>
  <c r="J52" i="18" s="1"/>
  <c r="E13" i="18"/>
  <c r="E74" i="18"/>
  <c r="I52" i="18"/>
  <c r="K39" i="18"/>
  <c r="Z16" i="9"/>
  <c r="F25" i="18"/>
  <c r="J55" i="18"/>
  <c r="J67" i="18" s="1"/>
  <c r="K55" i="18"/>
  <c r="K67" i="18" s="1"/>
  <c r="AE12" i="9"/>
  <c r="K15" i="18"/>
  <c r="K19" i="18" s="1"/>
  <c r="AB12" i="9"/>
  <c r="H15" i="18"/>
  <c r="H19" i="18" s="1"/>
  <c r="F52" i="18"/>
  <c r="I55" i="18"/>
  <c r="I67" i="18" s="1"/>
  <c r="AA23" i="9"/>
  <c r="AA40" i="9" s="1"/>
  <c r="G39" i="18"/>
  <c r="G52" i="18" s="1"/>
  <c r="AD12" i="9"/>
  <c r="J15" i="18"/>
  <c r="J19" i="18" s="1"/>
  <c r="AB23" i="9"/>
  <c r="H39" i="18"/>
  <c r="H52" i="18" s="1"/>
  <c r="AC12" i="9"/>
  <c r="I15" i="18"/>
  <c r="I19" i="18" s="1"/>
  <c r="F19" i="18"/>
  <c r="H55" i="18"/>
  <c r="H67" i="18" s="1"/>
  <c r="AA16" i="9"/>
  <c r="G26" i="18"/>
  <c r="J28" i="18"/>
  <c r="AE16" i="9"/>
  <c r="K25" i="18"/>
  <c r="K28" i="18" s="1"/>
  <c r="J74" i="18"/>
  <c r="K74" i="18"/>
  <c r="O40" i="10"/>
  <c r="X40" i="10"/>
  <c r="O40" i="9"/>
  <c r="AD16" i="9"/>
  <c r="X46" i="8"/>
  <c r="AA21" i="8"/>
  <c r="AE21" i="8"/>
  <c r="Z21" i="8"/>
  <c r="Y21" i="8"/>
  <c r="AD21" i="8"/>
  <c r="AC21" i="8"/>
  <c r="Z34" i="8"/>
  <c r="AA34" i="8"/>
  <c r="AC34" i="8"/>
  <c r="AB34" i="8"/>
  <c r="U40" i="10"/>
  <c r="R40" i="10"/>
  <c r="V40" i="10"/>
  <c r="S40" i="10"/>
  <c r="W40" i="10"/>
  <c r="Z28" i="10"/>
  <c r="AC16" i="9"/>
  <c r="AA14" i="8"/>
  <c r="Y45" i="8"/>
  <c r="AC45" i="8"/>
  <c r="AD45" i="8"/>
  <c r="AE39" i="9"/>
  <c r="AD39" i="9"/>
  <c r="AB16" i="9"/>
  <c r="Z45" i="8"/>
  <c r="AA45" i="8"/>
  <c r="AC14" i="8"/>
  <c r="AB45" i="8"/>
  <c r="Y14" i="8"/>
  <c r="Z14" i="8"/>
  <c r="AB14" i="8"/>
  <c r="AB46" i="8" s="1"/>
  <c r="Z40" i="9"/>
  <c r="AB32" i="9"/>
  <c r="AC32" i="9"/>
  <c r="AD32" i="9"/>
  <c r="AE23" i="9"/>
  <c r="AC23" i="9"/>
  <c r="AB39" i="9"/>
  <c r="AD23" i="9"/>
  <c r="AC39" i="9"/>
  <c r="AA24" i="10"/>
  <c r="N40" i="9"/>
  <c r="J40" i="9"/>
  <c r="V40" i="9"/>
  <c r="R40" i="9"/>
  <c r="AE28" i="10"/>
  <c r="AA40" i="10"/>
  <c r="AB24" i="10"/>
  <c r="AB39" i="10"/>
  <c r="AE45" i="8"/>
  <c r="AD34" i="8"/>
  <c r="M40" i="9"/>
  <c r="G40" i="9"/>
  <c r="Y23" i="9"/>
  <c r="T40" i="9"/>
  <c r="P40" i="9"/>
  <c r="L40" i="9"/>
  <c r="H40" i="9"/>
  <c r="Q40" i="9"/>
  <c r="U40" i="9"/>
  <c r="I40" i="9"/>
  <c r="K40" i="9"/>
  <c r="S40" i="9"/>
  <c r="W40" i="9"/>
  <c r="AE24" i="10"/>
  <c r="AC24" i="10"/>
  <c r="AC39" i="10"/>
  <c r="AD24" i="10"/>
  <c r="AD28" i="10"/>
  <c r="Z24" i="10"/>
  <c r="AE39" i="10"/>
  <c r="AE14" i="8"/>
  <c r="Y34" i="8"/>
  <c r="AD14" i="8"/>
  <c r="AE34" i="8"/>
  <c r="Y24" i="10"/>
  <c r="Y28" i="10"/>
  <c r="Y40" i="10" s="1"/>
  <c r="AD39" i="10"/>
  <c r="AD40" i="10" l="1"/>
  <c r="Z40" i="10"/>
  <c r="K52" i="18"/>
  <c r="K129" i="18" s="1"/>
  <c r="J129" i="18"/>
  <c r="E15" i="18"/>
  <c r="E19" i="18" s="1"/>
  <c r="I103" i="18"/>
  <c r="I129" i="18" s="1"/>
  <c r="F28" i="18"/>
  <c r="F129" i="18" s="1"/>
  <c r="E25" i="18"/>
  <c r="E55" i="18"/>
  <c r="E67" i="18" s="1"/>
  <c r="E39" i="18"/>
  <c r="E52" i="18" s="1"/>
  <c r="E26" i="18"/>
  <c r="G28" i="18"/>
  <c r="G129" i="18" s="1"/>
  <c r="AE40" i="10"/>
  <c r="AB40" i="10"/>
  <c r="Z46" i="8"/>
  <c r="Y46" i="8"/>
  <c r="AE40" i="9"/>
  <c r="AD46" i="8"/>
  <c r="AC46" i="8"/>
  <c r="AE46" i="8"/>
  <c r="AA46" i="8"/>
  <c r="AC40" i="10"/>
  <c r="Y40" i="9"/>
  <c r="AB40" i="9"/>
  <c r="AD40" i="9"/>
  <c r="AC40" i="9"/>
  <c r="E28" i="18" l="1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G43" i="4"/>
  <c r="AB42" i="4" l="1"/>
  <c r="AB43" i="4" l="1"/>
  <c r="H108" i="18"/>
  <c r="Y42" i="4"/>
  <c r="Y43" i="4" s="1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E108" i="18" l="1"/>
  <c r="E128" i="18" s="1"/>
  <c r="E129" i="18" s="1"/>
  <c r="H128" i="18"/>
  <c r="H129" i="18" s="1"/>
  <c r="G13" i="4" l="1"/>
  <c r="G30" i="4" l="1"/>
  <c r="G19" i="4"/>
</calcChain>
</file>

<file path=xl/sharedStrings.xml><?xml version="1.0" encoding="utf-8"?>
<sst xmlns="http://schemas.openxmlformats.org/spreadsheetml/2006/main" count="1729" uniqueCount="368">
  <si>
    <t>Lp.</t>
  </si>
  <si>
    <t>kod</t>
  </si>
  <si>
    <t>E</t>
  </si>
  <si>
    <t>Rozkład godzin</t>
  </si>
  <si>
    <t>Przedmiot</t>
  </si>
  <si>
    <t>Razem godz.</t>
  </si>
  <si>
    <t>Razem ECTS</t>
  </si>
  <si>
    <t>ECTS</t>
  </si>
  <si>
    <t>forma zal. po semestrze *</t>
  </si>
  <si>
    <t>razem</t>
  </si>
  <si>
    <t>1 semestr</t>
  </si>
  <si>
    <t>2 semestr</t>
  </si>
  <si>
    <t>Z</t>
  </si>
  <si>
    <t>ZO</t>
  </si>
  <si>
    <t>Całkowity nakład pracy studenta</t>
  </si>
  <si>
    <t>kont.</t>
  </si>
  <si>
    <t>niekont.</t>
  </si>
  <si>
    <t>Język angielski</t>
  </si>
  <si>
    <t>Anatomia</t>
  </si>
  <si>
    <t>Język łaciński</t>
  </si>
  <si>
    <t>Histologia z embriologią</t>
  </si>
  <si>
    <t xml:space="preserve">RAZEM </t>
  </si>
  <si>
    <t>1.MODUŁ Nauki morfologiczne</t>
  </si>
  <si>
    <t>2.MODUŁ Naukowe podstawy medycyny</t>
  </si>
  <si>
    <t>3. MODUŁ nauki przedkliniczne</t>
  </si>
  <si>
    <t>5. MODUŁ nauki kliniczne niezabiegowe</t>
  </si>
  <si>
    <t>6. MODUŁ nauki kliniczne zabiegowe</t>
  </si>
  <si>
    <t>7. MODUŁ prawne i organizacyjne podstawy medycyny</t>
  </si>
  <si>
    <t>8. MODUŁ praktyczne nauczanie kliniczne</t>
  </si>
  <si>
    <t>9. MODUŁ praktyki wakacyjne</t>
  </si>
  <si>
    <t>BHP i ergonomia pracy</t>
  </si>
  <si>
    <t>10. MODUŁ OGÓLNOUCZELNIANY</t>
  </si>
  <si>
    <t>11,12</t>
  </si>
  <si>
    <t>specjalność wybrana przez studenta*</t>
  </si>
  <si>
    <t>4. MODUŁ Nauki behawioralne i społeczne z elementami profesjonalizmu</t>
  </si>
  <si>
    <t>Biofizyka</t>
  </si>
  <si>
    <t>Podstawy biologii komórki</t>
  </si>
  <si>
    <t>Chemia</t>
  </si>
  <si>
    <t>Biochemia</t>
  </si>
  <si>
    <t>Fizjologia z cytofizjologią</t>
  </si>
  <si>
    <t>Patofizjologia</t>
  </si>
  <si>
    <t>Genetyka</t>
  </si>
  <si>
    <t>Mikrobiologia</t>
  </si>
  <si>
    <t>Parazytologia</t>
  </si>
  <si>
    <t>Immunologia</t>
  </si>
  <si>
    <t>Patologia</t>
  </si>
  <si>
    <t>Farmakologia z toksykologia</t>
  </si>
  <si>
    <t>Socjologia medycyny</t>
  </si>
  <si>
    <t>Psychologia lekarska</t>
  </si>
  <si>
    <t>Etyka</t>
  </si>
  <si>
    <t>Historia medycyny</t>
  </si>
  <si>
    <t>Pediatria</t>
  </si>
  <si>
    <t>Geriatria</t>
  </si>
  <si>
    <t>Neurologia</t>
  </si>
  <si>
    <t>Psychiatria</t>
  </si>
  <si>
    <t>Onkologia</t>
  </si>
  <si>
    <t>Medycyna rodzinna</t>
  </si>
  <si>
    <t>Dermatologia i wenerologia</t>
  </si>
  <si>
    <t>Choroby zakaźne</t>
  </si>
  <si>
    <t>Rehabilitacja</t>
  </si>
  <si>
    <t>Diagnostyka laboratoryjna</t>
  </si>
  <si>
    <t>Farmakologia kliniczna</t>
  </si>
  <si>
    <t>Anestezjologia i intensywna terapia</t>
  </si>
  <si>
    <t>Chirurgia ogólna</t>
  </si>
  <si>
    <t>Chirurgia dziecięca</t>
  </si>
  <si>
    <t>Ortopedia i traumatologia</t>
  </si>
  <si>
    <t>Chirurgia onkologiczna</t>
  </si>
  <si>
    <t>Urologia</t>
  </si>
  <si>
    <t>Otolaryngologia</t>
  </si>
  <si>
    <t>Medycyna ratunkowa i medycyna katastrof</t>
  </si>
  <si>
    <t>Ginekologia i położnictwo</t>
  </si>
  <si>
    <t>Okulistyka</t>
  </si>
  <si>
    <t>Neurochirurgia</t>
  </si>
  <si>
    <t>Transplantologia</t>
  </si>
  <si>
    <t>Diagnostyka obrazowa</t>
  </si>
  <si>
    <t>Higiena</t>
  </si>
  <si>
    <t>Epidemiologia</t>
  </si>
  <si>
    <t>Zdrowie publiczne</t>
  </si>
  <si>
    <t>Prawo medyczne</t>
  </si>
  <si>
    <t>Medycyna sądowa</t>
  </si>
  <si>
    <t>Choroby wewnętrzne</t>
  </si>
  <si>
    <t>Chirurgia</t>
  </si>
  <si>
    <t>Medycyna ratunkowa</t>
  </si>
  <si>
    <t>Opieka nad chorym (pielęgniarska)</t>
  </si>
  <si>
    <t>Lecznictwo otwrte</t>
  </si>
  <si>
    <t>Pomoc doraźna</t>
  </si>
  <si>
    <t>Inetensywna terapia</t>
  </si>
  <si>
    <t>Przysposobienie biblioteczne</t>
  </si>
  <si>
    <t>C</t>
  </si>
  <si>
    <t>W</t>
  </si>
  <si>
    <t>L</t>
  </si>
  <si>
    <t>Pierwsza pomoc z elementami pielęgniarstwa</t>
  </si>
  <si>
    <t>Elementy profesjonalizmu</t>
  </si>
  <si>
    <t xml:space="preserve">Biostatystyka z elementami informatyki </t>
  </si>
  <si>
    <t>CP/P</t>
  </si>
  <si>
    <t>3 semestr</t>
  </si>
  <si>
    <t>4 semestr</t>
  </si>
  <si>
    <t>5 semestr</t>
  </si>
  <si>
    <t>6 semestr</t>
  </si>
  <si>
    <t>7 semestr</t>
  </si>
  <si>
    <t>8 semestr</t>
  </si>
  <si>
    <t>9 semestr</t>
  </si>
  <si>
    <t>10 semestr</t>
  </si>
  <si>
    <t>Rozklad godzin</t>
  </si>
  <si>
    <t>CP/L</t>
  </si>
  <si>
    <t>I rok</t>
  </si>
  <si>
    <t>III rok</t>
  </si>
  <si>
    <t>IV rok</t>
  </si>
  <si>
    <t>V rok</t>
  </si>
  <si>
    <t>Wychowanie fizyczne</t>
  </si>
  <si>
    <t>I ROK</t>
  </si>
  <si>
    <r>
      <rPr>
        <sz val="18"/>
        <color indexed="8"/>
        <rFont val="Roboto"/>
        <charset val="238"/>
      </rPr>
      <t>KIERUNEK:</t>
    </r>
    <r>
      <rPr>
        <b/>
        <sz val="18"/>
        <color indexed="8"/>
        <rFont val="Roboto"/>
        <charset val="238"/>
      </rPr>
      <t xml:space="preserve"> LEKARSKI</t>
    </r>
  </si>
  <si>
    <r>
      <rPr>
        <sz val="16"/>
        <color indexed="8"/>
        <rFont val="Roboto"/>
        <charset val="238"/>
      </rPr>
      <t>Wydział:</t>
    </r>
    <r>
      <rPr>
        <b/>
        <sz val="16"/>
        <color indexed="8"/>
        <rFont val="Roboto"/>
        <charset val="238"/>
      </rPr>
      <t xml:space="preserve"> Lekarski i Nauk o Zdrowiu</t>
    </r>
  </si>
  <si>
    <r>
      <t>Instytut:</t>
    </r>
    <r>
      <rPr>
        <b/>
        <sz val="16"/>
        <color indexed="8"/>
        <rFont val="Roboto"/>
        <charset val="238"/>
      </rPr>
      <t xml:space="preserve"> Nauk Medycznych</t>
    </r>
  </si>
  <si>
    <t>Zaburzenia homeostazy komórek nabłonkowych</t>
  </si>
  <si>
    <t>Aktywne składniki materii żywej</t>
  </si>
  <si>
    <t>Nowoczesne techniki mikroskopowe w medycynie</t>
  </si>
  <si>
    <t>11. MODUŁ fakultatywny</t>
  </si>
  <si>
    <t>Zajęcia fakultatywne*</t>
  </si>
  <si>
    <t>Struktury ciała ludzkiego w badaniach obrazowych</t>
  </si>
  <si>
    <t>II Rok</t>
  </si>
  <si>
    <t>II ROK</t>
  </si>
  <si>
    <t>* Przedmioty w zakresie wsparcia studentów
w procesie uczenia się</t>
  </si>
  <si>
    <t>1-12</t>
  </si>
  <si>
    <t>* Przedmioty w zakresie wsparcia studentów w procesie uczenia się:</t>
  </si>
  <si>
    <t>Nieprawidłowości struktur tkankowych</t>
  </si>
  <si>
    <t>Zatwierdziła Rada Wydziału na posiedzeniu w dniu ……………..</t>
  </si>
  <si>
    <t>Żywność modyfikowana genetycznie</t>
  </si>
  <si>
    <t>Praktyka medyczna oparta na dowodach naukowych (EBM)</t>
  </si>
  <si>
    <t>9</t>
  </si>
  <si>
    <t>Zakażenia szpitalne</t>
  </si>
  <si>
    <t>Molekularne podstawy działania narządów zmysłów</t>
  </si>
  <si>
    <t>10</t>
  </si>
  <si>
    <t>11</t>
  </si>
  <si>
    <t>12</t>
  </si>
  <si>
    <t>13</t>
  </si>
  <si>
    <t>14</t>
  </si>
  <si>
    <t>Elektrofizjologia</t>
  </si>
  <si>
    <t>Aparatura medyczna</t>
  </si>
  <si>
    <t>Immunologia onkologiczna</t>
  </si>
  <si>
    <t>15</t>
  </si>
  <si>
    <t>16</t>
  </si>
  <si>
    <t>17</t>
  </si>
  <si>
    <t>4</t>
  </si>
  <si>
    <t>8</t>
  </si>
  <si>
    <t>5</t>
  </si>
  <si>
    <t>6</t>
  </si>
  <si>
    <t>7</t>
  </si>
  <si>
    <t>III ROK</t>
  </si>
  <si>
    <t>IV ROK</t>
  </si>
  <si>
    <t>18</t>
  </si>
  <si>
    <t>19</t>
  </si>
  <si>
    <t>20</t>
  </si>
  <si>
    <t>21</t>
  </si>
  <si>
    <t>Chirurgia endoskopowa i laparoskopowa</t>
  </si>
  <si>
    <t>Pediatria - kardiologia dziecięca</t>
  </si>
  <si>
    <t>Terapia bólu</t>
  </si>
  <si>
    <t>Chirurgia naczyniowa</t>
  </si>
  <si>
    <t>Farmakoekonomika</t>
  </si>
  <si>
    <t>Zakażenia wirusami przenoszonymi drogą krwi</t>
  </si>
  <si>
    <t>Dermatologia pediatryczna</t>
  </si>
  <si>
    <t>Choroby płuc</t>
  </si>
  <si>
    <t>V ROK</t>
  </si>
  <si>
    <t>Hipertensjologia</t>
  </si>
  <si>
    <t>Gastroenterologia dziecięca</t>
  </si>
  <si>
    <t>Traumatologia dziecięca</t>
  </si>
  <si>
    <t>Diagnostyka obrazowa w stanach nagłych</t>
  </si>
  <si>
    <t>Radioterapia</t>
  </si>
  <si>
    <t>Znaczenie profili genetycznych w leczeniu onkologicznym</t>
  </si>
  <si>
    <t>Metodyka pisania prac naukowych</t>
  </si>
  <si>
    <t>Psychiatria dorosłych</t>
  </si>
  <si>
    <t>Chirurgia bariatryczna</t>
  </si>
  <si>
    <t>Choroby metaboliczne</t>
  </si>
  <si>
    <t>Radiologia w pediatrii</t>
  </si>
  <si>
    <t>Farmakogenetyka</t>
  </si>
  <si>
    <t>Alergologia</t>
  </si>
  <si>
    <t>Anastezjologia i intensywna terapia dziecięca</t>
  </si>
  <si>
    <t>Chemioterapia</t>
  </si>
  <si>
    <t>Elektrokardiografia</t>
  </si>
  <si>
    <t>Żywienie kliniczne</t>
  </si>
  <si>
    <t xml:space="preserve">Racjonalna antybiotykoterapia </t>
  </si>
  <si>
    <t>Strukturalne podstawy interwencji sercowo-naczyniowych</t>
  </si>
  <si>
    <t>Kardiologia interwencyjna</t>
  </si>
  <si>
    <t>Patofizjologia nerek</t>
  </si>
  <si>
    <t>Patofizjologia układu endokrynnego</t>
  </si>
  <si>
    <t>Psychiatria dzieci i młodzieży</t>
  </si>
  <si>
    <t>Coaching</t>
  </si>
  <si>
    <t>Psychologia rozwoju osobistego</t>
  </si>
  <si>
    <t>Zarządzanie sobą w czasie</t>
  </si>
  <si>
    <t>Radzenie sobie ze stresem</t>
  </si>
  <si>
    <t xml:space="preserve">Inżynieria genetyczna </t>
  </si>
  <si>
    <t xml:space="preserve">Patofizjologia trzustki </t>
  </si>
  <si>
    <t>22</t>
  </si>
  <si>
    <t>23</t>
  </si>
  <si>
    <t>24</t>
  </si>
  <si>
    <t>25</t>
  </si>
  <si>
    <t>VI ROK</t>
  </si>
  <si>
    <t>VI Rok</t>
  </si>
  <si>
    <t>8. MODUŁ praktyczne nauczanie kliniczne*</t>
  </si>
  <si>
    <t>3/4</t>
  </si>
  <si>
    <t>Specyfika narządowa raportów patomorfologicznych nowotworów</t>
  </si>
  <si>
    <t>Metody diagnostyki patomorfologicznej i molekularnej</t>
  </si>
  <si>
    <r>
      <t xml:space="preserve">Interwencja kryzysowa
 </t>
    </r>
    <r>
      <rPr>
        <sz val="12"/>
        <rFont val="Roboto"/>
        <charset val="238"/>
      </rPr>
      <t>(przedmiot realizowany w formie ćwiczeń)</t>
    </r>
  </si>
  <si>
    <r>
      <t xml:space="preserve">Język migowy 
 </t>
    </r>
    <r>
      <rPr>
        <sz val="12"/>
        <rFont val="Roboto"/>
        <charset val="238"/>
      </rPr>
      <t>(przedmiot realizowany w formie ćwiczeń)</t>
    </r>
  </si>
  <si>
    <t>Patomorfologia zmian zapalnych o różnej etiologii</t>
  </si>
  <si>
    <t>9,10</t>
  </si>
  <si>
    <t>Język obcy**</t>
  </si>
  <si>
    <r>
      <rPr>
        <b/>
        <sz val="11"/>
        <color indexed="8"/>
        <rFont val="Calibri"/>
        <family val="2"/>
        <charset val="238"/>
      </rPr>
      <t xml:space="preserve">** </t>
    </r>
    <r>
      <rPr>
        <sz val="11"/>
        <color indexed="8"/>
        <rFont val="Calibri"/>
        <family val="2"/>
        <charset val="238"/>
      </rPr>
      <t>zgodnie z ofertą Studium Jezyków Obcych UJK</t>
    </r>
  </si>
  <si>
    <t>Metody wspomagania uczenia się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</si>
  <si>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</si>
  <si>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</si>
  <si>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</si>
  <si>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</si>
  <si>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</si>
  <si>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</si>
  <si>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</si>
  <si>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</si>
  <si>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</si>
  <si>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</si>
  <si>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</si>
  <si>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</si>
  <si>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</si>
  <si>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</si>
  <si>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</si>
  <si>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</si>
  <si>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</si>
  <si>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</si>
  <si>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</si>
  <si>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</si>
  <si>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</si>
  <si>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</si>
  <si>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</si>
  <si>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</si>
  <si>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</si>
  <si>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</si>
  <si>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</si>
  <si>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Lecznictwo otwarte</t>
  </si>
  <si>
    <t>Razem plan</t>
  </si>
  <si>
    <t>11. MODUŁ fakultatywny**</t>
  </si>
  <si>
    <t>1-4</t>
  </si>
  <si>
    <t>1-2</t>
  </si>
  <si>
    <t>1</t>
  </si>
  <si>
    <t>2</t>
  </si>
  <si>
    <t>3</t>
  </si>
  <si>
    <t>realizacja
 w semestrze</t>
  </si>
  <si>
    <t>7-8</t>
  </si>
  <si>
    <t>5-10</t>
  </si>
  <si>
    <t>9-10</t>
  </si>
  <si>
    <t>11 semestr</t>
  </si>
  <si>
    <t>12 semestr</t>
  </si>
  <si>
    <t>11-12</t>
  </si>
  <si>
    <t>3-4</t>
  </si>
  <si>
    <t>5-6</t>
  </si>
  <si>
    <t>9-12</t>
  </si>
  <si>
    <t>30</t>
  </si>
  <si>
    <t>RAZEM</t>
  </si>
  <si>
    <t>*- student wybiera seminaria/ćwiczenia prezentujące różnorodne kazusy/przypadki kliniczne z zakresu każdej specjalności zgodnie z obowiązującymi standardami  kształcenia dla kierunku lekarskiego. 
W ramach praktycznego nauczania klinicznego student zrealizuje  zakładane efekty kształcenia w grupach E i F zgodnie z Załącznikiem 1 do rozporzżdzenia Ministra Nauki i Szkolnictwa Wyższego z dnia 9 maja 2012 r.( poz 631) oraz umiejętności praktyczne przypisane praktycznemu nauczaniu klinicznemu na kierunku lekarskim. 
Praktyczne nauczanie klniczne na VI roku studiów  obejmuje zajecia w klinikach, oddziałach szpitalnych lub w symulowanych warunkach klinicznych. 
Szczegółowy opis warsztatów klinicznych zawiera karta przedmiotu w ramach danej specjalności.</t>
  </si>
  <si>
    <t>Zajęcia fakultatywne-przygotowanie do Lekarskiego Egzaminu Końcowego</t>
  </si>
  <si>
    <t>6.10</t>
  </si>
  <si>
    <t>5.10</t>
  </si>
  <si>
    <r>
      <rPr>
        <sz val="12"/>
        <color indexed="8"/>
        <rFont val="Roboto"/>
        <charset val="238"/>
      </rPr>
      <t>Wydział:</t>
    </r>
    <r>
      <rPr>
        <b/>
        <sz val="12"/>
        <color indexed="8"/>
        <rFont val="Roboto"/>
        <charset val="238"/>
      </rPr>
      <t xml:space="preserve"> Lekarski i Nauk o Zdrowiu</t>
    </r>
  </si>
  <si>
    <r>
      <t>Instytut:</t>
    </r>
    <r>
      <rPr>
        <b/>
        <sz val="12"/>
        <color indexed="8"/>
        <rFont val="Roboto"/>
        <charset val="238"/>
      </rPr>
      <t xml:space="preserve"> Nauk Medycznych</t>
    </r>
  </si>
  <si>
    <r>
      <rPr>
        <sz val="12"/>
        <color indexed="8"/>
        <rFont val="Roboto"/>
        <charset val="238"/>
      </rPr>
      <t>KIERUNEK:</t>
    </r>
    <r>
      <rPr>
        <b/>
        <sz val="12"/>
        <color indexed="8"/>
        <rFont val="Roboto"/>
        <charset val="238"/>
      </rPr>
      <t xml:space="preserve"> LEKARSKI</t>
    </r>
  </si>
  <si>
    <t>PLAN STUDIÓW STACJONARNYCH JEDNOLITYCH MAGISTERSKICH</t>
  </si>
  <si>
    <t>Zajęcia fakultatywne-przygotowanie do Lekarskiego Egzaminu Końcowego
student wybiera pomiędzy 9-12 semestrem 9 zagadnień z 10:
1. Choroby wewnętrzne
2. Pediatria
3. Chirurgia
4. Położnictwo i ginekologia
5. Medycyna ratunkowa i intensywna terapia
6. Medycyna rodzinna
7. Psychiatria
8. Bioetyka i prawo medyczna
9.Orzecznictwo
10. Zdrowie publiczne</t>
  </si>
  <si>
    <r>
      <rPr>
        <b/>
        <sz val="11"/>
        <color indexed="8"/>
        <rFont val="Calibri"/>
        <family val="2"/>
        <charset val="238"/>
      </rPr>
      <t>Zajęcia fakultatywne-przygotowanie do Lekarskiego Egzaminu Końcowego</t>
    </r>
    <r>
      <rPr>
        <sz val="11"/>
        <color indexed="8"/>
        <rFont val="Calibri"/>
        <family val="2"/>
        <charset val="238"/>
      </rPr>
      <t xml:space="preserve">
student wybiera pomiędzy 9-12 semestrem 9 zagadnień z 10:
1. Choroby wewnętrzne
2. Pediatria
3. Chirurgia
4. Położnictwo i ginekologia
5. Medycyna ratunkowa i intensywna terapia
6. Medycyna rodzinna
7. Psychiatria
8. Bioetyka i prawo medyczna
9.Orzecznictwo
10. Zdrowie publiczne</t>
    </r>
  </si>
  <si>
    <r>
      <t xml:space="preserve">Zajęcia fakultatywne-
przygotowanie do Lekarskiego Egzaminu Końcowego
</t>
    </r>
    <r>
      <rPr>
        <sz val="12"/>
        <rFont val="Calibri"/>
        <family val="2"/>
        <charset val="238"/>
        <scheme val="minor"/>
      </rPr>
      <t>student wybiera 9 zagadnień z 10 pomiędzy 9-12 semestrem</t>
    </r>
  </si>
  <si>
    <t>3,4</t>
  </si>
  <si>
    <t>1,2</t>
  </si>
  <si>
    <t>5,6</t>
  </si>
  <si>
    <t>PRZEDMIOTY FAKULTATYWANE</t>
  </si>
  <si>
    <t>8. MODUŁ  praktyki wakacyjne</t>
  </si>
  <si>
    <t>Bezpieczeństwo pacjenta</t>
  </si>
  <si>
    <t>5-8</t>
  </si>
  <si>
    <t>Hemostaza i tromboza</t>
  </si>
  <si>
    <t>1.MODUŁ Nauki morfologiczne OBOWIĄZKOWE</t>
  </si>
  <si>
    <t>Przedmioty fakultatywne</t>
  </si>
  <si>
    <t>spałek</t>
  </si>
  <si>
    <t>sadowski</t>
  </si>
  <si>
    <t>radowicz</t>
  </si>
  <si>
    <t xml:space="preserve">radowicz </t>
  </si>
  <si>
    <t xml:space="preserve">biologia </t>
  </si>
  <si>
    <t>2*</t>
  </si>
  <si>
    <t>Razem</t>
  </si>
  <si>
    <t>* Zajęcia fakultatywne (student w każdym semestrze wybiera: 1 max. 2) pkt. ECTS 2-4</t>
  </si>
  <si>
    <t>Racjonalna antybiotykoterapia</t>
  </si>
  <si>
    <t>Inzynieria genetyczna</t>
  </si>
  <si>
    <t xml:space="preserve">Elektrofizjologia </t>
  </si>
  <si>
    <t xml:space="preserve">Homeostaza i tromboza </t>
  </si>
  <si>
    <t xml:space="preserve">Patomorfologia zmian zapalnych o różnej etiologii </t>
  </si>
  <si>
    <t xml:space="preserve">Patofizjologia układu endokrynnego </t>
  </si>
  <si>
    <t xml:space="preserve">Farmakoekonomika </t>
  </si>
  <si>
    <t>ogółem dla modułu</t>
  </si>
  <si>
    <t xml:space="preserve">Anestezjologia i intensywna terapia dziecięca </t>
  </si>
  <si>
    <t>Traumatologia dzicięca</t>
  </si>
  <si>
    <t xml:space="preserve">Diagnostyka obrazowa w stanach nagłych </t>
  </si>
  <si>
    <t xml:space="preserve">Psychiatria dorosłych </t>
  </si>
  <si>
    <t>Psychiatria dzieci i dorosłych</t>
  </si>
  <si>
    <t>MAX. 31</t>
  </si>
  <si>
    <t xml:space="preserve">Metodyka pisania prac naukowych </t>
  </si>
  <si>
    <t>Komunikacja interepersonalna</t>
  </si>
  <si>
    <t>EBM</t>
  </si>
  <si>
    <t>moduł interdyscypilnarny</t>
  </si>
  <si>
    <t>Interwencja kryzysowa</t>
  </si>
  <si>
    <t>Język migowy</t>
  </si>
  <si>
    <t xml:space="preserve">Chirurgia endoskopowa i laparoskopowa </t>
  </si>
  <si>
    <t>Pediatria- kardiologia dziecięca</t>
  </si>
  <si>
    <t xml:space="preserve">Terapia bólu </t>
  </si>
  <si>
    <t>Endokrunologia dziecięca</t>
  </si>
  <si>
    <t>Seksuologia</t>
  </si>
  <si>
    <t>650-45 (minimalna liczba godzin zrealizowana w ramach zajęć fakultatywnych z modułu nauk przedklinicznych)=605</t>
  </si>
  <si>
    <t>11. MODUŁ OGÓLNOUCZELNIANY</t>
  </si>
  <si>
    <t>12. MODUŁ fakultatywny**</t>
  </si>
  <si>
    <t>Zajęcia fakultatywne-przygotowanie do Lekarskiego Egzaminu Końcowego**</t>
  </si>
  <si>
    <t xml:space="preserve">** Student musi wybrać dowolne moduły uzyskując określoną w planie studiów liczbę ECTS w skali semestru i roku akademickiego </t>
  </si>
  <si>
    <t>12. MODUŁ fakultatywny</t>
  </si>
  <si>
    <t>3,5</t>
  </si>
  <si>
    <t>0912-7LEK-C10-ZS</t>
  </si>
  <si>
    <t>8,1</t>
  </si>
  <si>
    <t>8,2</t>
  </si>
  <si>
    <t>0912-7LEK-A4,6-JA</t>
  </si>
  <si>
    <t>11,6</t>
  </si>
  <si>
    <t>0912-7LEK-A10,1-JO</t>
  </si>
  <si>
    <t>0912-7LEK-A10,2-JŁ</t>
  </si>
  <si>
    <t>0912-7LEK-A11,1-PB</t>
  </si>
  <si>
    <t>0912-7LEK-A11,2-PHP</t>
  </si>
  <si>
    <t>0912-7LEK-A11,3-WF</t>
  </si>
  <si>
    <t>11,3</t>
  </si>
  <si>
    <t>11,4</t>
  </si>
  <si>
    <t>11,5</t>
  </si>
  <si>
    <t>11,7</t>
  </si>
  <si>
    <t>11,8</t>
  </si>
  <si>
    <t>11,9</t>
  </si>
  <si>
    <t>0912-7LEK-D4,7-KI</t>
  </si>
  <si>
    <t>4,6</t>
  </si>
  <si>
    <t>Komunikacja z pacjentem i jego rodziną</t>
  </si>
  <si>
    <t>Metodologia badań naukowych z elementami biostatystki w medycnie</t>
  </si>
  <si>
    <t>0912-7LEK-B2.9-Mbm</t>
  </si>
  <si>
    <t>54</t>
  </si>
  <si>
    <t>Podstawy kodowania i rozliczania świadczeń w ramach umów z płatnikiem publicznym</t>
  </si>
  <si>
    <t>0912-7LEK-F54-Pk</t>
  </si>
  <si>
    <t xml:space="preserve">Choroby wewnętrzne-Propedeutyka Interny z elementami Kardiologii </t>
  </si>
  <si>
    <t>5.2a</t>
  </si>
  <si>
    <t xml:space="preserve">Choroby wewnętrzne-Propedeutyka Interny z Elementami Kardiologii </t>
  </si>
  <si>
    <t xml:space="preserve">Podstawy kodowania i rozliczania świadczeń w ramach umów z płatnikiem publiczym </t>
  </si>
  <si>
    <r>
      <t xml:space="preserve">* Zajęcia fakultatywne </t>
    </r>
    <r>
      <rPr>
        <sz val="14"/>
        <color theme="1"/>
        <rFont val="Roboto"/>
        <charset val="238"/>
      </rPr>
      <t>(student wybiera w 3 semestrze 2 z 4; w 4 semestrze 2 z 5)</t>
    </r>
  </si>
  <si>
    <t>Zajęcia fakultatywne**</t>
  </si>
  <si>
    <t xml:space="preserve">** do wyboru w formie ćwiczeń lub wykładów </t>
  </si>
  <si>
    <r>
      <t xml:space="preserve">* Zajęcia fakultatywne </t>
    </r>
    <r>
      <rPr>
        <sz val="14"/>
        <color indexed="8"/>
        <rFont val="Roboto"/>
        <charset val="238"/>
      </rPr>
      <t>(student w pierwszym semestrze wybiera 1 z 2, w drugim semestrze wybiera 3 z 4)</t>
    </r>
  </si>
  <si>
    <t>0912-7LEK-F-3-NST</t>
  </si>
  <si>
    <r>
      <t xml:space="preserve">* Zajęcia fakultatywne </t>
    </r>
    <r>
      <rPr>
        <sz val="14"/>
        <color indexed="8"/>
        <rFont val="Roboto"/>
        <charset val="238"/>
      </rPr>
      <t>( student wybiera z grupy 9 przedmiotów: 3przedmioty w 7 semestrze oraz 3 przedmioty w 8 semestrze)</t>
    </r>
  </si>
  <si>
    <t>0912-7LEK-F-20-MDPiM</t>
  </si>
  <si>
    <t>0912-7LEK-C5.1-P</t>
  </si>
  <si>
    <t>0912-7LEK-C5.2-CW</t>
  </si>
  <si>
    <t>6-10</t>
  </si>
  <si>
    <r>
      <t xml:space="preserve">* Zajęcia fakultatywne </t>
    </r>
    <r>
      <rPr>
        <sz val="14"/>
        <color indexed="8"/>
        <rFont val="Roboto"/>
        <charset val="238"/>
      </rPr>
      <t>(student wybiera w 5 semestrze 3 z 5; w 6 semestrze 2 z 3)</t>
    </r>
  </si>
  <si>
    <t>Zajęcia fakultatywne-
przygotowanie do Lekarskiego Egzaminu Końcowego
student wybiera 9 zagadnień z 10 pomiędzy 9-12 semestrem</t>
  </si>
  <si>
    <t>Leczenie skojarzone</t>
  </si>
  <si>
    <t>Lecznie skojarzone</t>
  </si>
  <si>
    <t>5,7,8,9,10</t>
  </si>
  <si>
    <t>5-11</t>
  </si>
  <si>
    <t>Intensywna terapia</t>
  </si>
  <si>
    <t>Endokrynologia dziecięca</t>
  </si>
  <si>
    <t>0912-7LEK-F31-E</t>
  </si>
  <si>
    <t>Specjalność wybrana przez studenta*</t>
  </si>
  <si>
    <r>
      <t xml:space="preserve">* Zajęcia fakultatywne </t>
    </r>
    <r>
      <rPr>
        <sz val="14"/>
        <color indexed="8"/>
        <rFont val="Roboto"/>
        <charset val="238"/>
      </rPr>
      <t>(student wybiera z grupy 20 przedmiotów: 2 przedmioty w 9 semestrze oraz 1 przedmiot w 10 semestrze )</t>
    </r>
  </si>
  <si>
    <t>Medycyna ratunkowa i medycyna katastrof     (zmiana sem. z letniego na zimowy, zgoda RW)</t>
  </si>
  <si>
    <t>Chirurgia onkologiczna    (zmiana sem. z zimowego na letni, zgoda RW)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</si>
</sst>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0.0"/>
    <numFmt numFmtId="165" formatCode="_-* #,##0\ _z_ł_-;\-* #,##0\ _z_ł_-;_-* &quot;-&quot;??\ _z_ł_-;_-@_-"/>
  </numFmts>
  <fonts count="96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b/>
      <sz val="12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4"/>
      <color rgb="FFFF0000"/>
      <name val="Calibri"/>
      <family val="2"/>
      <charset val="238"/>
    </font>
    <font>
      <sz val="16"/>
      <name val="Times New Roman"/>
      <family val="1"/>
      <charset val="238"/>
    </font>
    <font>
      <sz val="16"/>
      <color rgb="FFFF0000"/>
      <name val="Calibri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6"/>
      <name val="Calibri"/>
      <family val="2"/>
      <charset val="238"/>
      <scheme val="minor"/>
    </font>
    <font>
      <sz val="11"/>
      <color indexed="8"/>
      <name val="Roboto"/>
      <charset val="238"/>
    </font>
    <font>
      <b/>
      <sz val="16"/>
      <color indexed="8"/>
      <name val="Roboto"/>
      <charset val="238"/>
    </font>
    <font>
      <sz val="16"/>
      <color indexed="8"/>
      <name val="Roboto"/>
      <charset val="238"/>
    </font>
    <font>
      <b/>
      <sz val="11"/>
      <color indexed="8"/>
      <name val="Roboto"/>
      <charset val="238"/>
    </font>
    <font>
      <b/>
      <sz val="10"/>
      <color indexed="8"/>
      <name val="Roboto"/>
      <charset val="238"/>
    </font>
    <font>
      <b/>
      <i/>
      <sz val="12"/>
      <name val="Roboto"/>
      <charset val="238"/>
    </font>
    <font>
      <b/>
      <sz val="12"/>
      <color indexed="8"/>
      <name val="Roboto"/>
      <charset val="238"/>
    </font>
    <font>
      <b/>
      <sz val="12"/>
      <name val="Roboto"/>
      <charset val="238"/>
    </font>
    <font>
      <b/>
      <sz val="11"/>
      <color theme="1"/>
      <name val="Roboto"/>
      <charset val="238"/>
    </font>
    <font>
      <b/>
      <sz val="14"/>
      <color rgb="FFFF0000"/>
      <name val="Roboto"/>
      <charset val="238"/>
    </font>
    <font>
      <sz val="14"/>
      <color rgb="FFFF0000"/>
      <name val="Roboto"/>
      <charset val="238"/>
    </font>
    <font>
      <sz val="14"/>
      <color indexed="8"/>
      <name val="Roboto"/>
      <charset val="238"/>
    </font>
    <font>
      <b/>
      <sz val="14"/>
      <color indexed="8"/>
      <name val="Roboto"/>
      <charset val="238"/>
    </font>
    <font>
      <sz val="10"/>
      <color indexed="8"/>
      <name val="Roboto"/>
      <charset val="238"/>
    </font>
    <font>
      <sz val="10"/>
      <name val="Roboto"/>
      <charset val="238"/>
    </font>
    <font>
      <sz val="9"/>
      <name val="Roboto"/>
      <charset val="238"/>
    </font>
    <font>
      <sz val="12"/>
      <color indexed="8"/>
      <name val="Roboto"/>
      <charset val="238"/>
    </font>
    <font>
      <b/>
      <sz val="12"/>
      <color theme="1"/>
      <name val="Roboto"/>
      <charset val="238"/>
    </font>
    <font>
      <b/>
      <sz val="12"/>
      <color rgb="FFFF0000"/>
      <name val="Roboto"/>
      <charset val="238"/>
    </font>
    <font>
      <b/>
      <i/>
      <sz val="11"/>
      <name val="Roboto"/>
      <charset val="238"/>
    </font>
    <font>
      <sz val="9"/>
      <color indexed="8"/>
      <name val="Roboto"/>
      <charset val="238"/>
    </font>
    <font>
      <b/>
      <sz val="18"/>
      <name val="Roboto"/>
      <charset val="238"/>
    </font>
    <font>
      <sz val="12"/>
      <name val="Roboto"/>
      <charset val="238"/>
    </font>
    <font>
      <b/>
      <sz val="14"/>
      <name val="Roboto"/>
      <charset val="238"/>
    </font>
    <font>
      <b/>
      <sz val="18"/>
      <color indexed="8"/>
      <name val="Roboto"/>
      <charset val="238"/>
    </font>
    <font>
      <sz val="18"/>
      <color indexed="8"/>
      <name val="Roboto"/>
      <charset val="238"/>
    </font>
    <font>
      <b/>
      <sz val="20"/>
      <color indexed="8"/>
      <name val="Roboto"/>
      <charset val="238"/>
    </font>
    <font>
      <b/>
      <sz val="24"/>
      <color indexed="8"/>
      <name val="Roboto"/>
      <charset val="238"/>
    </font>
    <font>
      <sz val="20"/>
      <color indexed="8"/>
      <name val="Roboto"/>
      <charset val="238"/>
    </font>
    <font>
      <sz val="11"/>
      <name val="Roboto"/>
      <charset val="238"/>
    </font>
    <font>
      <b/>
      <sz val="12"/>
      <color theme="1" tint="0.34998626667073579"/>
      <name val="Roboto"/>
      <charset val="238"/>
    </font>
    <font>
      <b/>
      <sz val="11"/>
      <color theme="1" tint="0.34998626667073579"/>
      <name val="Roboto"/>
      <charset val="238"/>
    </font>
    <font>
      <b/>
      <i/>
      <sz val="12"/>
      <color indexed="8"/>
      <name val="Roboto"/>
      <charset val="238"/>
    </font>
    <font>
      <b/>
      <sz val="12"/>
      <color theme="1" tint="0.499984740745262"/>
      <name val="Roboto"/>
      <charset val="238"/>
    </font>
    <font>
      <sz val="11"/>
      <color theme="1" tint="0.499984740745262"/>
      <name val="Calibri"/>
      <family val="2"/>
      <charset val="238"/>
    </font>
    <font>
      <b/>
      <sz val="11"/>
      <color theme="1" tint="0.499984740745262"/>
      <name val="Roboto"/>
      <charset val="238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theme="1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color theme="1"/>
      <name val="Roboto"/>
      <charset val="238"/>
    </font>
    <font>
      <b/>
      <sz val="12"/>
      <color indexed="8"/>
      <name val="Calibri"/>
      <family val="2"/>
      <charset val="238"/>
      <scheme val="minor"/>
    </font>
    <font>
      <sz val="12"/>
      <color theme="1"/>
      <name val="Roboto"/>
      <charset val="238"/>
    </font>
    <font>
      <b/>
      <sz val="12"/>
      <color theme="0" tint="-0.499984740745262"/>
      <name val="Roboto"/>
      <charset val="238"/>
    </font>
    <font>
      <b/>
      <sz val="14"/>
      <color theme="1"/>
      <name val="Roboto"/>
      <charset val="238"/>
    </font>
    <font>
      <sz val="14"/>
      <color theme="1"/>
      <name val="Roboto"/>
      <charset val="238"/>
    </font>
    <font>
      <b/>
      <sz val="12"/>
      <color theme="1"/>
      <name val="Calibri"/>
      <family val="2"/>
      <charset val="238"/>
    </font>
    <font>
      <sz val="11"/>
      <color theme="1"/>
      <name val="Roboto"/>
      <charset val="238"/>
    </font>
    <font>
      <b/>
      <sz val="12"/>
      <color theme="0" tint="-4.9989318521683403E-2"/>
      <name val="Roboto"/>
      <charset val="238"/>
    </font>
    <font>
      <sz val="11"/>
      <color theme="0" tint="-4.9989318521683403E-2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color theme="0" tint="-0.34998626667073579"/>
      <name val="Roboto"/>
      <charset val="238"/>
    </font>
    <font>
      <b/>
      <sz val="12"/>
      <color theme="0" tint="-0.499984740745262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</font>
    <font>
      <b/>
      <sz val="12"/>
      <color theme="4"/>
      <name val="Roboto"/>
      <charset val="238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4C4C4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D2E8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6" fillId="0" borderId="0"/>
    <xf numFmtId="0" fontId="11" fillId="0" borderId="0"/>
    <xf numFmtId="0" fontId="10" fillId="0" borderId="0"/>
    <xf numFmtId="0" fontId="5" fillId="0" borderId="0"/>
    <xf numFmtId="43" fontId="10" fillId="0" borderId="0" applyFont="0" applyFill="0" applyBorder="0" applyAlignment="0" applyProtection="0"/>
    <xf numFmtId="0" fontId="94" fillId="0" borderId="0"/>
    <xf numFmtId="0" fontId="1" fillId="0" borderId="0"/>
  </cellStyleXfs>
  <cellXfs count="81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/>
    <xf numFmtId="0" fontId="0" fillId="0" borderId="0" xfId="0" applyAlignment="1"/>
    <xf numFmtId="164" fontId="9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8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Alignment="1"/>
    <xf numFmtId="0" fontId="12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4" fillId="0" borderId="0" xfId="0" applyFont="1"/>
    <xf numFmtId="0" fontId="14" fillId="2" borderId="0" xfId="0" applyFont="1" applyFill="1"/>
    <xf numFmtId="0" fontId="13" fillId="0" borderId="0" xfId="0" applyFont="1" applyAlignment="1">
      <alignment vertical="top" wrapText="1"/>
    </xf>
    <xf numFmtId="0" fontId="14" fillId="0" borderId="0" xfId="0" applyFont="1" applyAlignment="1">
      <alignment horizontal="left" vertical="top"/>
    </xf>
    <xf numFmtId="14" fontId="9" fillId="0" borderId="1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7" fillId="0" borderId="0" xfId="0" applyFont="1"/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18" fillId="0" borderId="0" xfId="0" applyFont="1"/>
    <xf numFmtId="0" fontId="17" fillId="2" borderId="0" xfId="0" applyFont="1" applyFill="1"/>
    <xf numFmtId="0" fontId="18" fillId="2" borderId="0" xfId="0" applyFont="1" applyFill="1" applyAlignment="1">
      <alignment horizontal="center"/>
    </xf>
    <xf numFmtId="0" fontId="18" fillId="2" borderId="0" xfId="0" applyFont="1" applyFill="1"/>
    <xf numFmtId="0" fontId="13" fillId="0" borderId="0" xfId="0" applyFont="1" applyAlignment="1">
      <alignment horizontal="left" vertical="top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 applyFill="1" applyBorder="1" applyAlignment="1">
      <alignment vertical="center" wrapText="1"/>
    </xf>
    <xf numFmtId="0" fontId="22" fillId="0" borderId="0" xfId="0" applyFont="1"/>
    <xf numFmtId="0" fontId="21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horizontal="left" vertical="top" wrapText="1"/>
    </xf>
    <xf numFmtId="0" fontId="21" fillId="0" borderId="0" xfId="0" applyFont="1"/>
    <xf numFmtId="0" fontId="20" fillId="2" borderId="0" xfId="0" applyFont="1" applyFill="1"/>
    <xf numFmtId="0" fontId="24" fillId="0" borderId="0" xfId="0" applyFont="1"/>
    <xf numFmtId="0" fontId="27" fillId="6" borderId="11" xfId="0" applyFont="1" applyFill="1" applyBorder="1" applyAlignment="1">
      <alignment vertical="center"/>
    </xf>
    <xf numFmtId="0" fontId="27" fillId="6" borderId="12" xfId="0" applyFont="1" applyFill="1" applyBorder="1" applyAlignment="1">
      <alignment vertical="center"/>
    </xf>
    <xf numFmtId="0" fontId="27" fillId="6" borderId="13" xfId="0" applyFont="1" applyFill="1" applyBorder="1" applyAlignment="1">
      <alignment vertical="center"/>
    </xf>
    <xf numFmtId="164" fontId="24" fillId="0" borderId="1" xfId="0" applyNumberFormat="1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vertical="center" wrapText="1"/>
    </xf>
    <xf numFmtId="14" fontId="24" fillId="0" borderId="1" xfId="0" applyNumberFormat="1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vertical="center"/>
    </xf>
    <xf numFmtId="0" fontId="27" fillId="6" borderId="6" xfId="0" applyFont="1" applyFill="1" applyBorder="1" applyAlignment="1">
      <alignment vertical="center"/>
    </xf>
    <xf numFmtId="0" fontId="27" fillId="6" borderId="6" xfId="0" applyFont="1" applyFill="1" applyBorder="1" applyAlignment="1">
      <alignment horizontal="left" vertical="center"/>
    </xf>
    <xf numFmtId="0" fontId="30" fillId="6" borderId="6" xfId="0" applyFont="1" applyFill="1" applyBorder="1" applyAlignment="1">
      <alignment vertical="center"/>
    </xf>
    <xf numFmtId="0" fontId="30" fillId="6" borderId="8" xfId="0" applyFont="1" applyFill="1" applyBorder="1" applyAlignment="1">
      <alignment vertical="center"/>
    </xf>
    <xf numFmtId="164" fontId="24" fillId="0" borderId="4" xfId="0" applyNumberFormat="1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 wrapText="1"/>
    </xf>
    <xf numFmtId="0" fontId="31" fillId="0" borderId="8" xfId="0" applyFont="1" applyFill="1" applyBorder="1" applyAlignment="1">
      <alignment vertical="center" wrapText="1"/>
    </xf>
    <xf numFmtId="0" fontId="31" fillId="0" borderId="8" xfId="3" applyFont="1" applyFill="1" applyBorder="1" applyAlignment="1">
      <alignment vertical="center" wrapText="1"/>
    </xf>
    <xf numFmtId="0" fontId="31" fillId="7" borderId="8" xfId="3" applyFont="1" applyFill="1" applyBorder="1" applyAlignment="1">
      <alignment vertical="center" wrapText="1"/>
    </xf>
    <xf numFmtId="0" fontId="24" fillId="3" borderId="17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0" fillId="0" borderId="0" xfId="0" applyFont="1" applyAlignment="1"/>
    <xf numFmtId="0" fontId="30" fillId="0" borderId="0" xfId="0" applyFont="1"/>
    <xf numFmtId="0" fontId="26" fillId="0" borderId="0" xfId="0" applyFont="1" applyAlignment="1">
      <alignment horizontal="left" vertical="top"/>
    </xf>
    <xf numFmtId="0" fontId="26" fillId="0" borderId="0" xfId="0" applyFont="1" applyAlignment="1"/>
    <xf numFmtId="0" fontId="25" fillId="0" borderId="0" xfId="0" applyFont="1" applyAlignment="1">
      <alignment vertical="top" wrapText="1"/>
    </xf>
    <xf numFmtId="164" fontId="24" fillId="0" borderId="0" xfId="0" applyNumberFormat="1" applyFont="1" applyAlignment="1">
      <alignment horizontal="center"/>
    </xf>
    <xf numFmtId="0" fontId="25" fillId="0" borderId="0" xfId="0" applyFont="1"/>
    <xf numFmtId="0" fontId="24" fillId="0" borderId="0" xfId="0" applyFont="1" applyAlignme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26" fillId="0" borderId="0" xfId="0" applyFont="1"/>
    <xf numFmtId="0" fontId="27" fillId="0" borderId="0" xfId="0" applyFont="1" applyAlignment="1"/>
    <xf numFmtId="0" fontId="33" fillId="2" borderId="0" xfId="0" applyFont="1" applyFill="1"/>
    <xf numFmtId="0" fontId="24" fillId="2" borderId="0" xfId="0" applyFont="1" applyFill="1"/>
    <xf numFmtId="0" fontId="24" fillId="2" borderId="0" xfId="0" applyFont="1" applyFill="1" applyAlignment="1">
      <alignment horizontal="center"/>
    </xf>
    <xf numFmtId="0" fontId="34" fillId="2" borderId="0" xfId="0" applyFont="1" applyFill="1"/>
    <xf numFmtId="0" fontId="35" fillId="2" borderId="0" xfId="0" applyFont="1" applyFill="1"/>
    <xf numFmtId="0" fontId="26" fillId="2" borderId="0" xfId="0" applyFont="1" applyFill="1"/>
    <xf numFmtId="0" fontId="24" fillId="0" borderId="0" xfId="0" applyFont="1" applyAlignment="1">
      <alignment horizontal="center"/>
    </xf>
    <xf numFmtId="0" fontId="26" fillId="0" borderId="0" xfId="0" applyFont="1" applyFill="1" applyBorder="1"/>
    <xf numFmtId="0" fontId="36" fillId="0" borderId="0" xfId="0" applyFont="1"/>
    <xf numFmtId="164" fontId="27" fillId="0" borderId="0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/>
    </xf>
    <xf numFmtId="164" fontId="37" fillId="0" borderId="0" xfId="0" applyNumberFormat="1" applyFont="1" applyFill="1" applyBorder="1" applyAlignment="1">
      <alignment horizontal="center" vertical="center"/>
    </xf>
    <xf numFmtId="0" fontId="27" fillId="2" borderId="0" xfId="0" applyFont="1" applyFill="1"/>
    <xf numFmtId="0" fontId="27" fillId="0" borderId="0" xfId="0" applyFont="1"/>
    <xf numFmtId="164" fontId="38" fillId="0" borderId="0" xfId="0" applyNumberFormat="1" applyFont="1" applyFill="1" applyBorder="1" applyAlignment="1">
      <alignment horizontal="center" vertical="center" wrapText="1"/>
    </xf>
    <xf numFmtId="164" fontId="39" fillId="0" borderId="0" xfId="0" applyNumberFormat="1" applyFont="1" applyFill="1" applyBorder="1" applyAlignment="1">
      <alignment horizontal="center"/>
    </xf>
    <xf numFmtId="0" fontId="27" fillId="0" borderId="0" xfId="0" applyFont="1" applyFill="1" applyBorder="1"/>
    <xf numFmtId="164" fontId="2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9" fillId="0" borderId="15" xfId="0" applyFont="1" applyFill="1" applyBorder="1" applyAlignment="1">
      <alignment vertical="center" wrapText="1"/>
    </xf>
    <xf numFmtId="2" fontId="24" fillId="0" borderId="1" xfId="0" applyNumberFormat="1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vertical="center" wrapText="1"/>
    </xf>
    <xf numFmtId="164" fontId="25" fillId="0" borderId="0" xfId="0" applyNumberFormat="1" applyFont="1" applyAlignment="1"/>
    <xf numFmtId="0" fontId="26" fillId="0" borderId="0" xfId="0" applyFont="1" applyFill="1" applyBorder="1" applyAlignment="1">
      <alignment vertical="center"/>
    </xf>
    <xf numFmtId="0" fontId="27" fillId="6" borderId="21" xfId="0" applyFont="1" applyFill="1" applyBorder="1" applyAlignment="1">
      <alignment vertical="center"/>
    </xf>
    <xf numFmtId="0" fontId="27" fillId="6" borderId="20" xfId="0" applyFont="1" applyFill="1" applyBorder="1" applyAlignment="1">
      <alignment vertical="center"/>
    </xf>
    <xf numFmtId="0" fontId="27" fillId="6" borderId="20" xfId="0" applyFont="1" applyFill="1" applyBorder="1" applyAlignment="1">
      <alignment horizontal="left" vertical="center"/>
    </xf>
    <xf numFmtId="0" fontId="30" fillId="6" borderId="20" xfId="0" applyFont="1" applyFill="1" applyBorder="1" applyAlignment="1">
      <alignment vertical="center"/>
    </xf>
    <xf numFmtId="0" fontId="30" fillId="6" borderId="22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30" fillId="5" borderId="3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9" fillId="2" borderId="8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0" fontId="45" fillId="0" borderId="0" xfId="0" applyFont="1" applyFill="1" applyAlignment="1">
      <alignment horizontal="center" vertical="center" wrapText="1"/>
    </xf>
    <xf numFmtId="0" fontId="46" fillId="0" borderId="0" xfId="0" applyFont="1" applyFill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31" fillId="0" borderId="1" xfId="3" applyFont="1" applyFill="1" applyBorder="1" applyAlignment="1">
      <alignment vertical="center" wrapText="1"/>
    </xf>
    <xf numFmtId="0" fontId="44" fillId="8" borderId="2" xfId="0" applyFont="1" applyFill="1" applyBorder="1" applyAlignment="1">
      <alignment horizontal="center" vertical="center" textRotation="90" wrapText="1"/>
    </xf>
    <xf numFmtId="0" fontId="30" fillId="8" borderId="1" xfId="0" applyFont="1" applyFill="1" applyBorder="1" applyAlignment="1">
      <alignment horizontal="center" vertical="center" wrapText="1"/>
    </xf>
    <xf numFmtId="0" fontId="44" fillId="9" borderId="2" xfId="0" applyFont="1" applyFill="1" applyBorder="1" applyAlignment="1">
      <alignment horizontal="center" vertical="center" textRotation="90" wrapText="1"/>
    </xf>
    <xf numFmtId="0" fontId="30" fillId="9" borderId="1" xfId="0" applyFont="1" applyFill="1" applyBorder="1" applyAlignment="1">
      <alignment horizontal="center" vertical="center" wrapText="1"/>
    </xf>
    <xf numFmtId="0" fontId="30" fillId="9" borderId="1" xfId="0" applyNumberFormat="1" applyFont="1" applyFill="1" applyBorder="1" applyAlignment="1">
      <alignment horizontal="center" vertical="center" wrapText="1"/>
    </xf>
    <xf numFmtId="0" fontId="30" fillId="9" borderId="4" xfId="0" applyFont="1" applyFill="1" applyBorder="1" applyAlignment="1">
      <alignment vertical="center" wrapText="1"/>
    </xf>
    <xf numFmtId="0" fontId="30" fillId="9" borderId="1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 wrapText="1"/>
    </xf>
    <xf numFmtId="0" fontId="47" fillId="0" borderId="0" xfId="0" applyFont="1" applyAlignment="1">
      <alignment horizontal="left" wrapText="1"/>
    </xf>
    <xf numFmtId="0" fontId="27" fillId="6" borderId="12" xfId="0" applyFont="1" applyFill="1" applyBorder="1" applyAlignment="1">
      <alignment horizontal="left" vertical="center"/>
    </xf>
    <xf numFmtId="0" fontId="26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34" fillId="2" borderId="0" xfId="0" applyFont="1" applyFill="1" applyAlignment="1">
      <alignment horizontal="left"/>
    </xf>
    <xf numFmtId="0" fontId="3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1" fontId="24" fillId="0" borderId="1" xfId="0" applyNumberFormat="1" applyFont="1" applyFill="1" applyBorder="1" applyAlignment="1">
      <alignment horizontal="center" vertical="center"/>
    </xf>
    <xf numFmtId="164" fontId="53" fillId="0" borderId="1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7" fillId="9" borderId="1" xfId="0" applyFont="1" applyFill="1" applyBorder="1" applyAlignment="1">
      <alignment horizontal="center" vertical="center" textRotation="90" wrapText="1"/>
    </xf>
    <xf numFmtId="0" fontId="0" fillId="9" borderId="1" xfId="0" applyFill="1" applyBorder="1" applyAlignment="1">
      <alignment horizontal="center"/>
    </xf>
    <xf numFmtId="0" fontId="30" fillId="9" borderId="1" xfId="0" applyFont="1" applyFill="1" applyBorder="1" applyAlignment="1">
      <alignment horizontal="center" vertical="center"/>
    </xf>
    <xf numFmtId="0" fontId="30" fillId="9" borderId="1" xfId="0" applyFont="1" applyFill="1" applyBorder="1" applyAlignment="1">
      <alignment vertical="center"/>
    </xf>
    <xf numFmtId="0" fontId="31" fillId="9" borderId="1" xfId="0" applyFont="1" applyFill="1" applyBorder="1" applyAlignment="1">
      <alignment horizontal="center" vertical="center" wrapText="1"/>
    </xf>
    <xf numFmtId="0" fontId="37" fillId="8" borderId="1" xfId="0" applyFont="1" applyFill="1" applyBorder="1" applyAlignment="1">
      <alignment horizontal="center" vertical="center" textRotation="90" wrapText="1"/>
    </xf>
    <xf numFmtId="0" fontId="30" fillId="8" borderId="1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54" fillId="9" borderId="1" xfId="0" applyFont="1" applyFill="1" applyBorder="1" applyAlignment="1">
      <alignment horizontal="center" vertical="center" wrapText="1"/>
    </xf>
    <xf numFmtId="0" fontId="55" fillId="5" borderId="1" xfId="0" applyFont="1" applyFill="1" applyBorder="1" applyAlignment="1">
      <alignment horizontal="center" vertical="center" wrapText="1"/>
    </xf>
    <xf numFmtId="0" fontId="54" fillId="8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top" wrapText="1"/>
    </xf>
    <xf numFmtId="49" fontId="24" fillId="0" borderId="1" xfId="0" applyNumberFormat="1" applyFont="1" applyFill="1" applyBorder="1" applyAlignment="1">
      <alignment horizontal="center" vertical="center"/>
    </xf>
    <xf numFmtId="49" fontId="24" fillId="0" borderId="4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53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24" fillId="0" borderId="0" xfId="0" applyNumberFormat="1" applyFont="1" applyAlignment="1">
      <alignment horizontal="center"/>
    </xf>
    <xf numFmtId="0" fontId="37" fillId="9" borderId="3" xfId="0" applyFont="1" applyFill="1" applyBorder="1" applyAlignment="1">
      <alignment horizontal="center" vertical="center" textRotation="90" wrapText="1"/>
    </xf>
    <xf numFmtId="0" fontId="42" fillId="9" borderId="1" xfId="0" applyFont="1" applyFill="1" applyBorder="1" applyAlignment="1">
      <alignment horizontal="center" vertical="center" wrapText="1"/>
    </xf>
    <xf numFmtId="0" fontId="37" fillId="8" borderId="3" xfId="0" applyFont="1" applyFill="1" applyBorder="1" applyAlignment="1">
      <alignment horizontal="center" vertical="center" textRotation="90" wrapText="1"/>
    </xf>
    <xf numFmtId="0" fontId="31" fillId="2" borderId="8" xfId="3" applyFont="1" applyFill="1" applyBorder="1" applyAlignment="1">
      <alignment vertical="center" wrapText="1"/>
    </xf>
    <xf numFmtId="0" fontId="56" fillId="0" borderId="1" xfId="0" applyFont="1" applyFill="1" applyBorder="1" applyAlignment="1">
      <alignment vertical="center" wrapText="1"/>
    </xf>
    <xf numFmtId="0" fontId="31" fillId="2" borderId="1" xfId="3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57" fillId="9" borderId="1" xfId="0" applyFont="1" applyFill="1" applyBorder="1" applyAlignment="1">
      <alignment horizontal="center" vertical="center" wrapText="1"/>
    </xf>
    <xf numFmtId="0" fontId="57" fillId="5" borderId="1" xfId="0" applyFont="1" applyFill="1" applyBorder="1" applyAlignment="1">
      <alignment horizontal="center" vertical="center" wrapText="1"/>
    </xf>
    <xf numFmtId="0" fontId="58" fillId="9" borderId="1" xfId="0" applyFont="1" applyFill="1" applyBorder="1" applyAlignment="1">
      <alignment horizontal="center"/>
    </xf>
    <xf numFmtId="0" fontId="57" fillId="8" borderId="1" xfId="0" applyFont="1" applyFill="1" applyBorder="1" applyAlignment="1">
      <alignment horizontal="center" vertical="center" wrapText="1"/>
    </xf>
    <xf numFmtId="0" fontId="57" fillId="9" borderId="1" xfId="0" applyFont="1" applyFill="1" applyBorder="1" applyAlignment="1">
      <alignment horizontal="center" vertical="center"/>
    </xf>
    <xf numFmtId="0" fontId="57" fillId="8" borderId="1" xfId="0" applyFont="1" applyFill="1" applyBorder="1" applyAlignment="1">
      <alignment horizontal="center" vertical="center"/>
    </xf>
    <xf numFmtId="0" fontId="59" fillId="3" borderId="17" xfId="0" applyFont="1" applyFill="1" applyBorder="1" applyAlignment="1">
      <alignment horizontal="center" vertical="center"/>
    </xf>
    <xf numFmtId="0" fontId="57" fillId="5" borderId="3" xfId="0" applyFont="1" applyFill="1" applyBorder="1" applyAlignment="1">
      <alignment horizontal="center" vertical="center" wrapText="1"/>
    </xf>
    <xf numFmtId="0" fontId="57" fillId="6" borderId="6" xfId="0" applyFont="1" applyFill="1" applyBorder="1" applyAlignment="1">
      <alignment vertical="center"/>
    </xf>
    <xf numFmtId="0" fontId="59" fillId="5" borderId="1" xfId="0" applyFont="1" applyFill="1" applyBorder="1" applyAlignment="1">
      <alignment horizontal="center" vertical="center" wrapText="1"/>
    </xf>
    <xf numFmtId="0" fontId="59" fillId="3" borderId="3" xfId="0" applyFont="1" applyFill="1" applyBorder="1" applyAlignment="1">
      <alignment horizontal="center" vertical="center"/>
    </xf>
    <xf numFmtId="16" fontId="2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9" fillId="0" borderId="4" xfId="0" applyNumberFormat="1" applyFont="1" applyFill="1" applyBorder="1" applyAlignment="1">
      <alignment horizontal="center" vertical="center"/>
    </xf>
    <xf numFmtId="14" fontId="9" fillId="0" borderId="4" xfId="0" applyNumberFormat="1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164" fontId="8" fillId="0" borderId="3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vertical="center"/>
    </xf>
    <xf numFmtId="0" fontId="62" fillId="0" borderId="1" xfId="3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1" fillId="0" borderId="1" xfId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5" borderId="5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60" fillId="0" borderId="4" xfId="0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2" fillId="0" borderId="4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49" fontId="8" fillId="10" borderId="6" xfId="0" applyNumberFormat="1" applyFont="1" applyFill="1" applyBorder="1" applyAlignment="1">
      <alignment vertical="center"/>
    </xf>
    <xf numFmtId="0" fontId="0" fillId="10" borderId="6" xfId="0" applyFill="1" applyBorder="1" applyAlignment="1">
      <alignment horizontal="center" vertical="center"/>
    </xf>
    <xf numFmtId="0" fontId="28" fillId="10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textRotation="90" wrapText="1"/>
    </xf>
    <xf numFmtId="0" fontId="64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30" xfId="0" applyNumberForma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49" fontId="0" fillId="0" borderId="5" xfId="0" applyNumberFormat="1" applyBorder="1" applyAlignment="1">
      <alignment horizontal="center" vertical="center"/>
    </xf>
    <xf numFmtId="0" fontId="12" fillId="0" borderId="0" xfId="0" applyFont="1" applyBorder="1" applyAlignment="1">
      <alignment horizontal="right" vertical="center" textRotation="90"/>
    </xf>
    <xf numFmtId="0" fontId="12" fillId="0" borderId="1" xfId="0" applyFont="1" applyBorder="1" applyAlignment="1">
      <alignment horizontal="right" vertical="center" textRotation="90"/>
    </xf>
    <xf numFmtId="0" fontId="12" fillId="0" borderId="0" xfId="0" applyFont="1" applyFill="1" applyBorder="1" applyAlignment="1">
      <alignment horizontal="right" vertical="center" textRotation="90"/>
    </xf>
    <xf numFmtId="0" fontId="12" fillId="0" borderId="1" xfId="0" applyFont="1" applyBorder="1" applyAlignment="1">
      <alignment vertical="center" textRotation="90"/>
    </xf>
    <xf numFmtId="0" fontId="8" fillId="10" borderId="6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28" fillId="0" borderId="0" xfId="0" applyNumberFormat="1" applyFont="1" applyFill="1" applyBorder="1" applyAlignment="1">
      <alignment vertical="center" wrapText="1"/>
    </xf>
    <xf numFmtId="14" fontId="0" fillId="0" borderId="5" xfId="0" applyNumberFormat="1" applyBorder="1" applyAlignment="1">
      <alignment vertical="center"/>
    </xf>
    <xf numFmtId="0" fontId="52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left" vertical="center"/>
    </xf>
    <xf numFmtId="0" fontId="40" fillId="0" borderId="0" xfId="0" applyFont="1"/>
    <xf numFmtId="0" fontId="4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8" fillId="10" borderId="8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49" fontId="0" fillId="0" borderId="7" xfId="0" applyNumberFormat="1" applyBorder="1" applyAlignment="1">
      <alignment vertical="center"/>
    </xf>
    <xf numFmtId="49" fontId="0" fillId="0" borderId="33" xfId="0" applyNumberForma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32" xfId="0" applyNumberFormat="1" applyBorder="1" applyAlignment="1">
      <alignment vertical="center"/>
    </xf>
    <xf numFmtId="49" fontId="0" fillId="0" borderId="11" xfId="0" applyNumberFormat="1" applyBorder="1" applyAlignment="1">
      <alignment vertical="center"/>
    </xf>
    <xf numFmtId="49" fontId="0" fillId="0" borderId="35" xfId="0" applyNumberFormat="1" applyBorder="1" applyAlignment="1">
      <alignment horizontal="center" vertical="center"/>
    </xf>
    <xf numFmtId="49" fontId="7" fillId="0" borderId="32" xfId="0" applyNumberFormat="1" applyFon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67" fillId="0" borderId="4" xfId="0" applyNumberFormat="1" applyFont="1" applyFill="1" applyBorder="1" applyAlignment="1">
      <alignment horizontal="left" vertical="center" wrapText="1"/>
    </xf>
    <xf numFmtId="49" fontId="68" fillId="0" borderId="4" xfId="0" applyNumberFormat="1" applyFont="1" applyFill="1" applyBorder="1" applyAlignment="1">
      <alignment horizontal="center" vertical="center" wrapText="1"/>
    </xf>
    <xf numFmtId="0" fontId="69" fillId="0" borderId="4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textRotation="90"/>
    </xf>
    <xf numFmtId="49" fontId="24" fillId="0" borderId="0" xfId="0" applyNumberFormat="1" applyFont="1" applyFill="1" applyBorder="1" applyAlignment="1">
      <alignment horizontal="center" vertical="center"/>
    </xf>
    <xf numFmtId="0" fontId="31" fillId="0" borderId="0" xfId="3" applyFont="1" applyFill="1" applyBorder="1" applyAlignment="1">
      <alignment vertical="center" wrapText="1"/>
    </xf>
    <xf numFmtId="14" fontId="24" fillId="0" borderId="0" xfId="0" applyNumberFormat="1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31" fillId="9" borderId="0" xfId="0" applyFont="1" applyFill="1" applyBorder="1" applyAlignment="1">
      <alignment horizontal="center" vertical="center" wrapText="1"/>
    </xf>
    <xf numFmtId="0" fontId="57" fillId="9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14" fontId="24" fillId="0" borderId="5" xfId="0" applyNumberFormat="1" applyFont="1" applyFill="1" applyBorder="1" applyAlignment="1">
      <alignment horizontal="left" vertical="center" wrapText="1"/>
    </xf>
    <xf numFmtId="0" fontId="67" fillId="0" borderId="1" xfId="3" applyFont="1" applyFill="1" applyBorder="1" applyAlignment="1">
      <alignment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left" vertical="center"/>
    </xf>
    <xf numFmtId="164" fontId="9" fillId="0" borderId="4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/>
    </xf>
    <xf numFmtId="164" fontId="8" fillId="12" borderId="5" xfId="0" applyNumberFormat="1" applyFont="1" applyFill="1" applyBorder="1" applyAlignment="1">
      <alignment horizontal="left" vertical="center" wrapText="1"/>
    </xf>
    <xf numFmtId="164" fontId="8" fillId="12" borderId="6" xfId="0" applyNumberFormat="1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164" fontId="8" fillId="12" borderId="29" xfId="0" applyNumberFormat="1" applyFont="1" applyFill="1" applyBorder="1" applyAlignment="1">
      <alignment horizontal="left" vertical="center" wrapText="1"/>
    </xf>
    <xf numFmtId="164" fontId="8" fillId="12" borderId="14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28" fillId="0" borderId="3" xfId="0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14" fontId="9" fillId="0" borderId="6" xfId="0" applyNumberFormat="1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vertical="center" wrapText="1"/>
    </xf>
    <xf numFmtId="0" fontId="70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71" fillId="0" borderId="0" xfId="0" applyFont="1"/>
    <xf numFmtId="0" fontId="28" fillId="0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 wrapText="1"/>
    </xf>
    <xf numFmtId="0" fontId="65" fillId="0" borderId="4" xfId="0" applyFont="1" applyFill="1" applyBorder="1" applyAlignment="1">
      <alignment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8" fillId="10" borderId="6" xfId="0" applyFont="1" applyFill="1" applyBorder="1" applyAlignment="1">
      <alignment horizontal="left" vertical="center"/>
    </xf>
    <xf numFmtId="164" fontId="9" fillId="0" borderId="4" xfId="0" applyNumberFormat="1" applyFont="1" applyFill="1" applyBorder="1" applyAlignment="1">
      <alignment horizontal="center" vertical="center"/>
    </xf>
    <xf numFmtId="0" fontId="60" fillId="0" borderId="21" xfId="0" applyFont="1" applyFill="1" applyBorder="1" applyAlignment="1">
      <alignment vertical="center" wrapText="1"/>
    </xf>
    <xf numFmtId="0" fontId="60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2" fontId="9" fillId="0" borderId="15" xfId="0" applyNumberFormat="1" applyFont="1" applyFill="1" applyBorder="1" applyAlignment="1">
      <alignment horizontal="center" vertical="center"/>
    </xf>
    <xf numFmtId="49" fontId="8" fillId="0" borderId="37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60" fillId="0" borderId="6" xfId="0" applyFont="1" applyFill="1" applyBorder="1" applyAlignment="1">
      <alignment vertical="center" wrapText="1"/>
    </xf>
    <xf numFmtId="0" fontId="65" fillId="0" borderId="21" xfId="0" applyFont="1" applyFill="1" applyBorder="1" applyAlignment="1">
      <alignment vertical="center" wrapText="1"/>
    </xf>
    <xf numFmtId="49" fontId="72" fillId="0" borderId="1" xfId="0" applyNumberFormat="1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vertical="center"/>
    </xf>
    <xf numFmtId="49" fontId="72" fillId="0" borderId="3" xfId="0" applyNumberFormat="1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0" fillId="14" borderId="0" xfId="0" applyFont="1" applyFill="1" applyBorder="1" applyAlignment="1">
      <alignment vertical="center"/>
    </xf>
    <xf numFmtId="0" fontId="40" fillId="14" borderId="0" xfId="0" applyFont="1" applyFill="1" applyBorder="1" applyAlignment="1">
      <alignment horizontal="center" vertical="center"/>
    </xf>
    <xf numFmtId="0" fontId="28" fillId="14" borderId="3" xfId="0" applyFont="1" applyFill="1" applyBorder="1" applyAlignment="1">
      <alignment horizontal="center" vertical="center" wrapText="1"/>
    </xf>
    <xf numFmtId="0" fontId="28" fillId="14" borderId="6" xfId="0" applyFont="1" applyFill="1" applyBorder="1" applyAlignment="1">
      <alignment horizontal="center" vertical="center" wrapText="1"/>
    </xf>
    <xf numFmtId="0" fontId="37" fillId="14" borderId="4" xfId="0" applyFont="1" applyFill="1" applyBorder="1" applyAlignment="1">
      <alignment horizontal="center" vertical="center" wrapText="1"/>
    </xf>
    <xf numFmtId="0" fontId="37" fillId="14" borderId="1" xfId="0" applyFont="1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/>
    </xf>
    <xf numFmtId="0" fontId="37" fillId="14" borderId="3" xfId="0" applyFont="1" applyFill="1" applyBorder="1" applyAlignment="1">
      <alignment horizontal="center" vertical="center" wrapText="1"/>
    </xf>
    <xf numFmtId="0" fontId="37" fillId="14" borderId="29" xfId="0" applyFont="1" applyFill="1" applyBorder="1" applyAlignment="1">
      <alignment horizontal="center" vertical="center" wrapText="1"/>
    </xf>
    <xf numFmtId="0" fontId="0" fillId="14" borderId="4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164" fontId="8" fillId="14" borderId="29" xfId="0" applyNumberFormat="1" applyFont="1" applyFill="1" applyBorder="1" applyAlignment="1">
      <alignment horizontal="left" vertical="center" wrapText="1"/>
    </xf>
    <xf numFmtId="0" fontId="69" fillId="14" borderId="4" xfId="0" applyFont="1" applyFill="1" applyBorder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12" fillId="14" borderId="1" xfId="0" applyFont="1" applyFill="1" applyBorder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74" fillId="0" borderId="0" xfId="0" applyFont="1"/>
    <xf numFmtId="0" fontId="74" fillId="0" borderId="1" xfId="0" applyFont="1" applyBorder="1"/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165" fontId="9" fillId="0" borderId="1" xfId="5" applyNumberFormat="1" applyFont="1" applyFill="1" applyBorder="1" applyAlignment="1">
      <alignment vertical="center" wrapText="1"/>
    </xf>
    <xf numFmtId="1" fontId="37" fillId="0" borderId="3" xfId="0" applyNumberFormat="1" applyFont="1" applyFill="1" applyBorder="1" applyAlignment="1">
      <alignment horizontal="center" vertical="center" wrapText="1"/>
    </xf>
    <xf numFmtId="1" fontId="37" fillId="0" borderId="14" xfId="0" applyNumberFormat="1" applyFont="1" applyFill="1" applyBorder="1" applyAlignment="1">
      <alignment horizontal="center" vertical="center" wrapText="1"/>
    </xf>
    <xf numFmtId="0" fontId="75" fillId="0" borderId="0" xfId="0" applyFont="1"/>
    <xf numFmtId="1" fontId="9" fillId="0" borderId="1" xfId="0" applyNumberFormat="1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65" fillId="0" borderId="29" xfId="0" applyFont="1" applyFill="1" applyBorder="1" applyAlignment="1">
      <alignment vertical="center" wrapText="1"/>
    </xf>
    <xf numFmtId="164" fontId="9" fillId="0" borderId="21" xfId="0" applyNumberFormat="1" applyFont="1" applyFill="1" applyBorder="1" applyAlignment="1">
      <alignment horizontal="center" vertical="center"/>
    </xf>
    <xf numFmtId="0" fontId="71" fillId="0" borderId="1" xfId="0" applyFont="1" applyBorder="1"/>
    <xf numFmtId="0" fontId="73" fillId="0" borderId="5" xfId="0" applyFont="1" applyFill="1" applyBorder="1" applyAlignment="1">
      <alignment vertical="center" wrapText="1"/>
    </xf>
    <xf numFmtId="0" fontId="65" fillId="0" borderId="1" xfId="0" applyFont="1" applyFill="1" applyBorder="1" applyAlignment="1">
      <alignment vertical="center"/>
    </xf>
    <xf numFmtId="0" fontId="65" fillId="0" borderId="15" xfId="0" applyFont="1" applyFill="1" applyBorder="1" applyAlignment="1">
      <alignment vertical="center"/>
    </xf>
    <xf numFmtId="14" fontId="9" fillId="0" borderId="3" xfId="0" applyNumberFormat="1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vertical="center" wrapText="1"/>
    </xf>
    <xf numFmtId="0" fontId="68" fillId="0" borderId="1" xfId="0" applyFont="1" applyFill="1" applyBorder="1" applyAlignment="1">
      <alignment horizontal="center" vertical="center"/>
    </xf>
    <xf numFmtId="0" fontId="65" fillId="14" borderId="1" xfId="0" applyFont="1" applyFill="1" applyBorder="1" applyAlignment="1">
      <alignment vertical="center" wrapText="1"/>
    </xf>
    <xf numFmtId="0" fontId="76" fillId="14" borderId="1" xfId="0" applyFont="1" applyFill="1" applyBorder="1" applyAlignment="1">
      <alignment vertical="center" wrapText="1"/>
    </xf>
    <xf numFmtId="0" fontId="74" fillId="14" borderId="1" xfId="0" applyFont="1" applyFill="1" applyBorder="1"/>
    <xf numFmtId="0" fontId="65" fillId="14" borderId="4" xfId="0" applyFont="1" applyFill="1" applyBorder="1" applyAlignment="1">
      <alignment vertical="center" wrapText="1"/>
    </xf>
    <xf numFmtId="0" fontId="73" fillId="14" borderId="1" xfId="0" applyFont="1" applyFill="1" applyBorder="1" applyAlignment="1">
      <alignment vertical="center" wrapText="1"/>
    </xf>
    <xf numFmtId="2" fontId="9" fillId="0" borderId="3" xfId="0" applyNumberFormat="1" applyFont="1" applyFill="1" applyBorder="1" applyAlignment="1">
      <alignment horizontal="center" vertical="center"/>
    </xf>
    <xf numFmtId="0" fontId="73" fillId="0" borderId="3" xfId="0" applyFont="1" applyFill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14" borderId="0" xfId="0" applyFill="1" applyAlignment="1">
      <alignment vertical="center"/>
    </xf>
    <xf numFmtId="0" fontId="65" fillId="0" borderId="0" xfId="0" applyFon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49" fontId="0" fillId="2" borderId="5" xfId="0" applyNumberFormat="1" applyFill="1" applyBorder="1" applyAlignment="1">
      <alignment vertical="center"/>
    </xf>
    <xf numFmtId="49" fontId="0" fillId="2" borderId="30" xfId="0" applyNumberForma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42" fillId="8" borderId="1" xfId="0" applyFont="1" applyFill="1" applyBorder="1" applyAlignment="1">
      <alignment horizontal="center" vertical="center" wrapText="1"/>
    </xf>
    <xf numFmtId="0" fontId="32" fillId="5" borderId="4" xfId="0" applyFont="1" applyFill="1" applyBorder="1" applyAlignment="1">
      <alignment vertical="center"/>
    </xf>
    <xf numFmtId="0" fontId="32" fillId="5" borderId="4" xfId="0" applyFont="1" applyFill="1" applyBorder="1" applyAlignment="1">
      <alignment horizontal="center" vertical="center"/>
    </xf>
    <xf numFmtId="0" fontId="41" fillId="5" borderId="4" xfId="0" applyFont="1" applyFill="1" applyBorder="1" applyAlignment="1">
      <alignment horizontal="center" vertical="center" wrapText="1"/>
    </xf>
    <xf numFmtId="0" fontId="41" fillId="8" borderId="1" xfId="0" applyFont="1" applyFill="1" applyBorder="1" applyAlignment="1">
      <alignment horizontal="center" vertical="center" wrapText="1"/>
    </xf>
    <xf numFmtId="0" fontId="41" fillId="9" borderId="1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9" fillId="0" borderId="1" xfId="1" applyFont="1" applyFill="1" applyBorder="1"/>
    <xf numFmtId="0" fontId="81" fillId="2" borderId="3" xfId="0" applyFont="1" applyFill="1" applyBorder="1" applyAlignment="1">
      <alignment horizontal="center" vertical="center"/>
    </xf>
    <xf numFmtId="49" fontId="81" fillId="0" borderId="1" xfId="0" applyNumberFormat="1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horizontal="left" vertical="center" wrapText="1"/>
    </xf>
    <xf numFmtId="0" fontId="78" fillId="0" borderId="1" xfId="0" applyFont="1" applyFill="1" applyBorder="1" applyAlignment="1">
      <alignment vertical="center" wrapText="1"/>
    </xf>
    <xf numFmtId="0" fontId="82" fillId="9" borderId="1" xfId="0" applyFont="1" applyFill="1" applyBorder="1" applyAlignment="1">
      <alignment horizontal="center" vertical="center" wrapText="1"/>
    </xf>
    <xf numFmtId="0" fontId="72" fillId="0" borderId="1" xfId="0" applyFont="1" applyBorder="1" applyAlignment="1">
      <alignment horizontal="center" vertical="center"/>
    </xf>
    <xf numFmtId="0" fontId="85" fillId="0" borderId="1" xfId="0" applyFont="1" applyFill="1" applyBorder="1" applyAlignment="1">
      <alignment vertical="center" wrapText="1"/>
    </xf>
    <xf numFmtId="0" fontId="78" fillId="0" borderId="4" xfId="0" applyFont="1" applyFill="1" applyBorder="1" applyAlignment="1">
      <alignment vertical="center" wrapText="1"/>
    </xf>
    <xf numFmtId="14" fontId="86" fillId="0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0" fontId="88" fillId="0" borderId="0" xfId="0" applyFont="1"/>
    <xf numFmtId="14" fontId="24" fillId="0" borderId="3" xfId="0" applyNumberFormat="1" applyFont="1" applyFill="1" applyBorder="1" applyAlignment="1">
      <alignment horizontal="left" vertical="center" wrapText="1"/>
    </xf>
    <xf numFmtId="0" fontId="88" fillId="0" borderId="1" xfId="0" applyFont="1" applyBorder="1"/>
    <xf numFmtId="0" fontId="88" fillId="0" borderId="0" xfId="0" applyFont="1" applyBorder="1"/>
    <xf numFmtId="0" fontId="0" fillId="0" borderId="0" xfId="0" applyBorder="1"/>
    <xf numFmtId="0" fontId="41" fillId="5" borderId="1" xfId="0" applyFont="1" applyFill="1" applyBorder="1" applyAlignment="1">
      <alignment horizontal="center" vertical="center" wrapText="1"/>
    </xf>
    <xf numFmtId="0" fontId="89" fillId="0" borderId="0" xfId="0" applyFont="1" applyAlignment="1">
      <alignment vertical="center"/>
    </xf>
    <xf numFmtId="0" fontId="90" fillId="9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2" fillId="0" borderId="1" xfId="0" applyFont="1" applyBorder="1" applyAlignment="1">
      <alignment horizontal="right" vertical="center" textRotation="90"/>
    </xf>
    <xf numFmtId="49" fontId="0" fillId="0" borderId="3" xfId="0" applyNumberFormat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49" fontId="77" fillId="0" borderId="1" xfId="0" applyNumberFormat="1" applyFont="1" applyFill="1" applyBorder="1" applyAlignment="1">
      <alignment horizontal="center" vertical="center" wrapText="1"/>
    </xf>
    <xf numFmtId="0" fontId="92" fillId="0" borderId="1" xfId="0" applyFont="1" applyFill="1" applyBorder="1" applyAlignment="1">
      <alignment vertical="center" wrapText="1"/>
    </xf>
    <xf numFmtId="0" fontId="12" fillId="0" borderId="3" xfId="0" applyFont="1" applyBorder="1" applyAlignment="1">
      <alignment vertical="center" textRotation="90"/>
    </xf>
    <xf numFmtId="14" fontId="0" fillId="0" borderId="7" xfId="0" applyNumberFormat="1" applyBorder="1" applyAlignment="1">
      <alignment vertical="center"/>
    </xf>
    <xf numFmtId="14" fontId="0" fillId="0" borderId="11" xfId="0" applyNumberFormat="1" applyBorder="1" applyAlignment="1">
      <alignment vertical="center"/>
    </xf>
    <xf numFmtId="0" fontId="2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72" fillId="0" borderId="0" xfId="0" applyFont="1"/>
    <xf numFmtId="0" fontId="0" fillId="0" borderId="8" xfId="0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93" fillId="8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68" fillId="0" borderId="1" xfId="3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82" fillId="8" borderId="1" xfId="0" applyFont="1" applyFill="1" applyBorder="1" applyAlignment="1">
      <alignment horizontal="center" vertical="center" wrapText="1"/>
    </xf>
    <xf numFmtId="0" fontId="41" fillId="9" borderId="1" xfId="0" applyFont="1" applyFill="1" applyBorder="1" applyAlignment="1">
      <alignment horizontal="center" vertical="center"/>
    </xf>
    <xf numFmtId="0" fontId="41" fillId="8" borderId="1" xfId="0" applyFont="1" applyFill="1" applyBorder="1" applyAlignment="1">
      <alignment horizontal="center" vertical="center"/>
    </xf>
    <xf numFmtId="0" fontId="82" fillId="9" borderId="1" xfId="0" applyFont="1" applyFill="1" applyBorder="1" applyAlignment="1">
      <alignment horizontal="center" vertical="center"/>
    </xf>
    <xf numFmtId="0" fontId="82" fillId="8" borderId="1" xfId="0" applyFont="1" applyFill="1" applyBorder="1" applyAlignment="1">
      <alignment horizontal="center" vertical="center"/>
    </xf>
    <xf numFmtId="0" fontId="82" fillId="5" borderId="1" xfId="0" applyFont="1" applyFill="1" applyBorder="1" applyAlignment="1">
      <alignment horizontal="center" vertical="center" wrapText="1"/>
    </xf>
    <xf numFmtId="49" fontId="86" fillId="0" borderId="1" xfId="0" applyNumberFormat="1" applyFont="1" applyFill="1" applyBorder="1" applyAlignment="1">
      <alignment horizontal="center" vertical="center" wrapText="1"/>
    </xf>
    <xf numFmtId="0" fontId="41" fillId="6" borderId="6" xfId="0" applyFont="1" applyFill="1" applyBorder="1" applyAlignment="1">
      <alignment vertical="center"/>
    </xf>
    <xf numFmtId="0" fontId="41" fillId="2" borderId="1" xfId="3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94" fillId="0" borderId="0" xfId="6"/>
    <xf numFmtId="0" fontId="7" fillId="0" borderId="0" xfId="6" applyFont="1" applyAlignment="1">
      <alignment vertical="top"/>
    </xf>
    <xf numFmtId="0" fontId="30" fillId="5" borderId="32" xfId="6" applyFont="1" applyFill="1" applyBorder="1" applyAlignment="1">
      <alignment horizontal="center" vertical="center" wrapText="1"/>
    </xf>
    <xf numFmtId="0" fontId="30" fillId="5" borderId="3" xfId="6" applyFont="1" applyFill="1" applyBorder="1" applyAlignment="1">
      <alignment horizontal="center" vertical="center" wrapText="1"/>
    </xf>
    <xf numFmtId="0" fontId="30" fillId="0" borderId="1" xfId="6" applyFont="1" applyFill="1" applyBorder="1" applyAlignment="1">
      <alignment horizontal="center" vertical="center" wrapText="1"/>
    </xf>
    <xf numFmtId="0" fontId="30" fillId="8" borderId="1" xfId="6" applyFont="1" applyFill="1" applyBorder="1" applyAlignment="1">
      <alignment horizontal="center" vertical="center" wrapText="1"/>
    </xf>
    <xf numFmtId="0" fontId="57" fillId="8" borderId="1" xfId="6" applyFont="1" applyFill="1" applyBorder="1" applyAlignment="1">
      <alignment horizontal="center" vertical="center" wrapText="1"/>
    </xf>
    <xf numFmtId="0" fontId="30" fillId="9" borderId="1" xfId="6" applyFont="1" applyFill="1" applyBorder="1" applyAlignment="1">
      <alignment horizontal="center" vertical="center" wrapText="1"/>
    </xf>
    <xf numFmtId="0" fontId="82" fillId="9" borderId="1" xfId="6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49" fontId="9" fillId="0" borderId="1" xfId="6" applyNumberFormat="1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14" fontId="24" fillId="0" borderId="1" xfId="6" applyNumberFormat="1" applyFont="1" applyFill="1" applyBorder="1" applyAlignment="1">
      <alignment horizontal="left" vertical="center" wrapText="1"/>
    </xf>
    <xf numFmtId="0" fontId="31" fillId="0" borderId="5" xfId="6" applyFont="1" applyFill="1" applyBorder="1" applyAlignment="1">
      <alignment vertical="center" wrapText="1"/>
    </xf>
    <xf numFmtId="49" fontId="9" fillId="0" borderId="1" xfId="6" applyNumberFormat="1" applyFont="1" applyFill="1" applyBorder="1" applyAlignment="1">
      <alignment horizontal="center" vertical="center"/>
    </xf>
    <xf numFmtId="0" fontId="30" fillId="5" borderId="1" xfId="6" applyFont="1" applyFill="1" applyBorder="1" applyAlignment="1">
      <alignment horizontal="center" vertical="center" wrapText="1"/>
    </xf>
    <xf numFmtId="0" fontId="57" fillId="5" borderId="1" xfId="6" applyFont="1" applyFill="1" applyBorder="1" applyAlignment="1">
      <alignment horizontal="center" vertical="center" wrapText="1"/>
    </xf>
    <xf numFmtId="0" fontId="30" fillId="2" borderId="1" xfId="6" applyFont="1" applyFill="1" applyBorder="1" applyAlignment="1">
      <alignment horizontal="center" vertical="center"/>
    </xf>
    <xf numFmtId="0" fontId="57" fillId="9" borderId="1" xfId="6" applyFont="1" applyFill="1" applyBorder="1" applyAlignment="1">
      <alignment horizontal="center" vertical="center" wrapText="1"/>
    </xf>
    <xf numFmtId="0" fontId="27" fillId="0" borderId="3" xfId="6" applyFont="1" applyFill="1" applyBorder="1" applyAlignment="1">
      <alignment horizontal="center" vertical="center" wrapText="1"/>
    </xf>
    <xf numFmtId="0" fontId="27" fillId="0" borderId="1" xfId="6" applyFont="1" applyFill="1" applyBorder="1" applyAlignment="1">
      <alignment horizontal="center" vertical="center" wrapText="1"/>
    </xf>
    <xf numFmtId="14" fontId="9" fillId="0" borderId="4" xfId="6" applyNumberFormat="1" applyFont="1" applyFill="1" applyBorder="1" applyAlignment="1">
      <alignment horizontal="left" vertical="center" wrapText="1"/>
    </xf>
    <xf numFmtId="0" fontId="29" fillId="0" borderId="8" xfId="6" applyFont="1" applyFill="1" applyBorder="1" applyAlignment="1">
      <alignment vertical="center" wrapText="1"/>
    </xf>
    <xf numFmtId="164" fontId="53" fillId="0" borderId="1" xfId="6" applyNumberFormat="1" applyFont="1" applyFill="1" applyBorder="1" applyAlignment="1">
      <alignment horizontal="center" vertical="center"/>
    </xf>
    <xf numFmtId="0" fontId="30" fillId="6" borderId="8" xfId="6" applyFont="1" applyFill="1" applyBorder="1" applyAlignment="1">
      <alignment vertical="center"/>
    </xf>
    <xf numFmtId="0" fontId="30" fillId="6" borderId="6" xfId="6" applyFont="1" applyFill="1" applyBorder="1" applyAlignment="1">
      <alignment vertical="center"/>
    </xf>
    <xf numFmtId="0" fontId="57" fillId="6" borderId="6" xfId="6" applyFont="1" applyFill="1" applyBorder="1" applyAlignment="1">
      <alignment vertical="center"/>
    </xf>
    <xf numFmtId="0" fontId="24" fillId="6" borderId="6" xfId="6" applyFont="1" applyFill="1" applyBorder="1" applyAlignment="1">
      <alignment vertical="center"/>
    </xf>
    <xf numFmtId="0" fontId="27" fillId="6" borderId="6" xfId="6" applyFont="1" applyFill="1" applyBorder="1" applyAlignment="1">
      <alignment horizontal="left" vertical="center"/>
    </xf>
    <xf numFmtId="0" fontId="27" fillId="6" borderId="6" xfId="6" applyFont="1" applyFill="1" applyBorder="1" applyAlignment="1">
      <alignment vertical="center"/>
    </xf>
    <xf numFmtId="0" fontId="27" fillId="6" borderId="5" xfId="6" applyFont="1" applyFill="1" applyBorder="1" applyAlignment="1">
      <alignment vertical="center"/>
    </xf>
    <xf numFmtId="0" fontId="95" fillId="0" borderId="1" xfId="6" applyFont="1" applyFill="1" applyBorder="1" applyAlignment="1">
      <alignment horizontal="center" vertical="center" wrapText="1"/>
    </xf>
    <xf numFmtId="164" fontId="9" fillId="0" borderId="1" xfId="6" applyNumberFormat="1" applyFont="1" applyFill="1" applyBorder="1" applyAlignment="1">
      <alignment horizontal="center" vertical="center"/>
    </xf>
    <xf numFmtId="0" fontId="30" fillId="0" borderId="4" xfId="6" applyFont="1" applyFill="1" applyBorder="1" applyAlignment="1">
      <alignment horizontal="center" vertical="center" wrapText="1"/>
    </xf>
    <xf numFmtId="0" fontId="30" fillId="8" borderId="4" xfId="6" applyFont="1" applyFill="1" applyBorder="1" applyAlignment="1">
      <alignment horizontal="center" vertical="center" wrapText="1"/>
    </xf>
    <xf numFmtId="0" fontId="57" fillId="8" borderId="4" xfId="6" applyFont="1" applyFill="1" applyBorder="1" applyAlignment="1">
      <alignment horizontal="center" vertical="center" wrapText="1"/>
    </xf>
    <xf numFmtId="0" fontId="30" fillId="9" borderId="4" xfId="6" applyFont="1" applyFill="1" applyBorder="1" applyAlignment="1">
      <alignment horizontal="center" vertical="center" wrapText="1"/>
    </xf>
    <xf numFmtId="0" fontId="57" fillId="9" borderId="4" xfId="6" applyFont="1" applyFill="1" applyBorder="1" applyAlignment="1">
      <alignment horizontal="center" vertical="center" wrapText="1"/>
    </xf>
    <xf numFmtId="0" fontId="9" fillId="0" borderId="4" xfId="6" applyFont="1" applyFill="1" applyBorder="1" applyAlignment="1">
      <alignment horizontal="center" vertical="center" wrapText="1"/>
    </xf>
    <xf numFmtId="0" fontId="8" fillId="0" borderId="4" xfId="6" applyFont="1" applyFill="1" applyBorder="1" applyAlignment="1">
      <alignment horizontal="center" vertical="center" wrapText="1"/>
    </xf>
    <xf numFmtId="0" fontId="31" fillId="0" borderId="21" xfId="6" applyFont="1" applyFill="1" applyBorder="1" applyAlignment="1">
      <alignment vertical="center" wrapText="1"/>
    </xf>
    <xf numFmtId="164" fontId="9" fillId="0" borderId="4" xfId="6" applyNumberFormat="1" applyFont="1" applyFill="1" applyBorder="1" applyAlignment="1">
      <alignment horizontal="center" vertical="center"/>
    </xf>
    <xf numFmtId="0" fontId="27" fillId="2" borderId="0" xfId="6" applyFont="1" applyFill="1" applyBorder="1" applyAlignment="1">
      <alignment vertical="center"/>
    </xf>
    <xf numFmtId="0" fontId="27" fillId="10" borderId="8" xfId="6" applyFont="1" applyFill="1" applyBorder="1" applyAlignment="1">
      <alignment vertical="center"/>
    </xf>
    <xf numFmtId="0" fontId="27" fillId="10" borderId="6" xfId="6" applyFont="1" applyFill="1" applyBorder="1" applyAlignment="1">
      <alignment vertical="center"/>
    </xf>
    <xf numFmtId="0" fontId="27" fillId="10" borderId="5" xfId="6" applyFont="1" applyFill="1" applyBorder="1" applyAlignment="1">
      <alignment vertical="center"/>
    </xf>
    <xf numFmtId="0" fontId="37" fillId="8" borderId="3" xfId="6" applyFont="1" applyFill="1" applyBorder="1" applyAlignment="1">
      <alignment horizontal="center" vertical="center" textRotation="90" wrapText="1"/>
    </xf>
    <xf numFmtId="0" fontId="37" fillId="9" borderId="3" xfId="6" applyFont="1" applyFill="1" applyBorder="1" applyAlignment="1">
      <alignment horizontal="center" vertical="center" textRotation="90" wrapText="1"/>
    </xf>
    <xf numFmtId="0" fontId="27" fillId="0" borderId="3" xfId="6" applyFont="1" applyFill="1" applyBorder="1" applyAlignment="1">
      <alignment horizontal="center" vertical="center" wrapText="1"/>
    </xf>
    <xf numFmtId="0" fontId="24" fillId="0" borderId="1" xfId="6" applyFont="1" applyFill="1" applyBorder="1" applyAlignment="1">
      <alignment horizontal="center" vertical="center" wrapText="1"/>
    </xf>
    <xf numFmtId="0" fontId="27" fillId="0" borderId="1" xfId="6" applyFont="1" applyFill="1" applyBorder="1" applyAlignment="1">
      <alignment horizontal="center" vertical="center" wrapText="1"/>
    </xf>
    <xf numFmtId="0" fontId="30" fillId="6" borderId="20" xfId="6" applyFont="1" applyFill="1" applyBorder="1" applyAlignment="1">
      <alignment vertical="center"/>
    </xf>
    <xf numFmtId="164" fontId="25" fillId="0" borderId="0" xfId="6" applyNumberFormat="1" applyFont="1" applyAlignment="1"/>
    <xf numFmtId="0" fontId="46" fillId="0" borderId="0" xfId="6" applyFont="1" applyFill="1" applyAlignment="1">
      <alignment horizontal="center" vertical="center" wrapText="1"/>
    </xf>
    <xf numFmtId="0" fontId="45" fillId="0" borderId="0" xfId="6" applyFont="1" applyFill="1" applyAlignment="1">
      <alignment horizontal="center" vertical="center" wrapText="1"/>
    </xf>
    <xf numFmtId="0" fontId="47" fillId="0" borderId="0" xfId="6" applyFont="1" applyAlignment="1">
      <alignment horizontal="left" wrapText="1"/>
    </xf>
    <xf numFmtId="0" fontId="24" fillId="0" borderId="0" xfId="6" applyFont="1"/>
    <xf numFmtId="49" fontId="24" fillId="0" borderId="0" xfId="6" applyNumberFormat="1" applyFont="1" applyAlignment="1">
      <alignment horizontal="center"/>
    </xf>
    <xf numFmtId="0" fontId="26" fillId="0" borderId="0" xfId="6" applyFont="1" applyFill="1" applyBorder="1" applyAlignment="1">
      <alignment horizontal="center" vertical="center"/>
    </xf>
    <xf numFmtId="0" fontId="36" fillId="0" borderId="0" xfId="6" applyFont="1" applyFill="1" applyBorder="1" applyAlignment="1">
      <alignment horizontal="left" vertical="center" wrapText="1"/>
    </xf>
    <xf numFmtId="0" fontId="35" fillId="0" borderId="0" xfId="6" applyFont="1" applyFill="1" applyBorder="1" applyAlignment="1">
      <alignment vertical="center"/>
    </xf>
    <xf numFmtId="0" fontId="26" fillId="0" borderId="0" xfId="6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27" fillId="8" borderId="6" xfId="0" applyFont="1" applyFill="1" applyBorder="1" applyAlignment="1">
      <alignment horizontal="center" vertical="center" wrapText="1"/>
    </xf>
    <xf numFmtId="0" fontId="27" fillId="8" borderId="8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7" fillId="9" borderId="8" xfId="0" applyFont="1" applyFill="1" applyBorder="1" applyAlignment="1">
      <alignment horizontal="center" vertical="center" wrapText="1"/>
    </xf>
    <xf numFmtId="0" fontId="27" fillId="9" borderId="3" xfId="0" applyFont="1" applyFill="1" applyBorder="1" applyAlignment="1">
      <alignment horizontal="center" vertical="center" textRotation="90" wrapText="1"/>
    </xf>
    <xf numFmtId="0" fontId="27" fillId="9" borderId="10" xfId="0" applyFont="1" applyFill="1" applyBorder="1" applyAlignment="1">
      <alignment horizontal="center" vertical="center" textRotation="90" wrapText="1"/>
    </xf>
    <xf numFmtId="0" fontId="25" fillId="0" borderId="0" xfId="0" applyFont="1" applyFill="1" applyBorder="1" applyAlignment="1">
      <alignment horizontal="left" vertical="center" wrapText="1"/>
    </xf>
    <xf numFmtId="0" fontId="48" fillId="0" borderId="0" xfId="0" applyFont="1" applyFill="1" applyBorder="1" applyAlignment="1">
      <alignment horizontal="left" vertical="center" wrapText="1"/>
    </xf>
    <xf numFmtId="0" fontId="51" fillId="0" borderId="0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0" fontId="27" fillId="8" borderId="3" xfId="0" applyFont="1" applyFill="1" applyBorder="1" applyAlignment="1">
      <alignment horizontal="center" vertical="center" textRotation="90" wrapText="1"/>
    </xf>
    <xf numFmtId="0" fontId="27" fillId="8" borderId="10" xfId="0" applyFont="1" applyFill="1" applyBorder="1" applyAlignment="1">
      <alignment horizontal="center" vertical="center" textRotation="90" wrapText="1"/>
    </xf>
    <xf numFmtId="0" fontId="27" fillId="4" borderId="1" xfId="0" applyFont="1" applyFill="1" applyBorder="1" applyAlignment="1">
      <alignment horizontal="center" vertical="center" wrapText="1"/>
    </xf>
    <xf numFmtId="0" fontId="27" fillId="9" borderId="6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center" vertical="center"/>
    </xf>
    <xf numFmtId="164" fontId="27" fillId="0" borderId="3" xfId="0" applyNumberFormat="1" applyFont="1" applyFill="1" applyBorder="1" applyAlignment="1">
      <alignment horizontal="center" vertical="center"/>
    </xf>
    <xf numFmtId="164" fontId="27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2" fillId="3" borderId="16" xfId="1" applyFont="1" applyFill="1" applyBorder="1" applyAlignment="1">
      <alignment horizontal="center" vertical="center" wrapText="1"/>
    </xf>
    <xf numFmtId="0" fontId="32" fillId="3" borderId="25" xfId="1" applyFont="1" applyFill="1" applyBorder="1" applyAlignment="1">
      <alignment horizontal="center" vertical="center" wrapText="1"/>
    </xf>
    <xf numFmtId="0" fontId="32" fillId="3" borderId="23" xfId="1" applyFont="1" applyFill="1" applyBorder="1" applyAlignment="1">
      <alignment horizontal="center" vertical="center" wrapText="1"/>
    </xf>
    <xf numFmtId="0" fontId="32" fillId="3" borderId="18" xfId="1" applyFont="1" applyFill="1" applyBorder="1" applyAlignment="1">
      <alignment horizontal="center" vertical="center" wrapText="1"/>
    </xf>
    <xf numFmtId="0" fontId="32" fillId="3" borderId="24" xfId="1" applyFont="1" applyFill="1" applyBorder="1" applyAlignment="1">
      <alignment horizontal="center" vertical="center" wrapText="1"/>
    </xf>
    <xf numFmtId="0" fontId="32" fillId="3" borderId="19" xfId="1" applyFont="1" applyFill="1" applyBorder="1" applyAlignment="1">
      <alignment horizontal="center" vertical="center" wrapText="1"/>
    </xf>
    <xf numFmtId="0" fontId="31" fillId="0" borderId="5" xfId="3" applyFont="1" applyFill="1" applyBorder="1" applyAlignment="1">
      <alignment horizontal="left" vertical="center" wrapText="1"/>
    </xf>
    <xf numFmtId="0" fontId="31" fillId="0" borderId="8" xfId="3" applyFont="1" applyFill="1" applyBorder="1" applyAlignment="1">
      <alignment horizontal="left" vertical="center" wrapText="1"/>
    </xf>
    <xf numFmtId="0" fontId="27" fillId="9" borderId="4" xfId="0" applyFont="1" applyFill="1" applyBorder="1" applyAlignment="1">
      <alignment horizontal="center" vertical="center" textRotation="90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/>
    </xf>
    <xf numFmtId="49" fontId="27" fillId="0" borderId="3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8" borderId="4" xfId="0" applyFont="1" applyFill="1" applyBorder="1" applyAlignment="1">
      <alignment horizontal="center" vertical="center" textRotation="90" wrapText="1"/>
    </xf>
    <xf numFmtId="49" fontId="53" fillId="0" borderId="3" xfId="0" applyNumberFormat="1" applyFont="1" applyFill="1" applyBorder="1" applyAlignment="1">
      <alignment horizontal="center" vertical="center"/>
    </xf>
    <xf numFmtId="49" fontId="53" fillId="0" borderId="4" xfId="0" applyNumberFormat="1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left" vertical="center" wrapText="1"/>
    </xf>
    <xf numFmtId="0" fontId="29" fillId="2" borderId="14" xfId="0" applyFont="1" applyFill="1" applyBorder="1" applyAlignment="1">
      <alignment horizontal="left" vertical="center" wrapText="1"/>
    </xf>
    <xf numFmtId="0" fontId="29" fillId="2" borderId="21" xfId="0" applyFont="1" applyFill="1" applyBorder="1" applyAlignment="1">
      <alignment horizontal="left" vertical="center" wrapText="1"/>
    </xf>
    <xf numFmtId="0" fontId="29" fillId="2" borderId="22" xfId="0" applyFont="1" applyFill="1" applyBorder="1" applyAlignment="1">
      <alignment horizontal="left" vertical="center" wrapText="1"/>
    </xf>
    <xf numFmtId="0" fontId="32" fillId="5" borderId="21" xfId="0" applyFont="1" applyFill="1" applyBorder="1" applyAlignment="1">
      <alignment horizontal="center" vertical="center"/>
    </xf>
    <xf numFmtId="0" fontId="32" fillId="5" borderId="20" xfId="0" applyFont="1" applyFill="1" applyBorder="1" applyAlignment="1">
      <alignment horizontal="center" vertical="center"/>
    </xf>
    <xf numFmtId="0" fontId="32" fillId="5" borderId="22" xfId="0" applyFont="1" applyFill="1" applyBorder="1" applyAlignment="1">
      <alignment horizontal="center" vertical="center"/>
    </xf>
    <xf numFmtId="0" fontId="80" fillId="10" borderId="5" xfId="0" applyFont="1" applyFill="1" applyBorder="1" applyAlignment="1">
      <alignment horizontal="left" vertical="center"/>
    </xf>
    <xf numFmtId="0" fontId="80" fillId="10" borderId="6" xfId="0" applyFont="1" applyFill="1" applyBorder="1" applyAlignment="1">
      <alignment horizontal="left" vertical="center"/>
    </xf>
    <xf numFmtId="0" fontId="80" fillId="10" borderId="8" xfId="0" applyFont="1" applyFill="1" applyBorder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49" fontId="83" fillId="0" borderId="0" xfId="0" applyNumberFormat="1" applyFont="1" applyAlignment="1">
      <alignment horizontal="left" vertical="center"/>
    </xf>
    <xf numFmtId="0" fontId="43" fillId="5" borderId="18" xfId="3" applyFont="1" applyFill="1" applyBorder="1" applyAlignment="1">
      <alignment horizontal="center" vertical="center" wrapText="1"/>
    </xf>
    <xf numFmtId="0" fontId="43" fillId="5" borderId="24" xfId="3" applyFont="1" applyFill="1" applyBorder="1" applyAlignment="1">
      <alignment horizontal="center" vertical="center" wrapText="1"/>
    </xf>
    <xf numFmtId="0" fontId="43" fillId="5" borderId="19" xfId="3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27" fillId="4" borderId="6" xfId="0" applyFont="1" applyFill="1" applyBorder="1" applyAlignment="1">
      <alignment horizontal="center" vertical="center" wrapText="1"/>
    </xf>
    <xf numFmtId="0" fontId="27" fillId="4" borderId="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top" wrapText="1"/>
    </xf>
    <xf numFmtId="0" fontId="28" fillId="8" borderId="5" xfId="0" applyFont="1" applyFill="1" applyBorder="1" applyAlignment="1">
      <alignment horizontal="center" vertical="center" wrapText="1"/>
    </xf>
    <xf numFmtId="0" fontId="28" fillId="8" borderId="8" xfId="0" applyFont="1" applyFill="1" applyBorder="1" applyAlignment="1">
      <alignment horizontal="center" vertical="center" wrapText="1"/>
    </xf>
    <xf numFmtId="49" fontId="36" fillId="0" borderId="0" xfId="0" applyNumberFormat="1" applyFont="1" applyAlignment="1">
      <alignment horizontal="left" vertical="center"/>
    </xf>
    <xf numFmtId="0" fontId="32" fillId="3" borderId="26" xfId="1" applyFont="1" applyFill="1" applyBorder="1" applyAlignment="1">
      <alignment horizontal="center" vertical="center" wrapText="1"/>
    </xf>
    <xf numFmtId="0" fontId="32" fillId="3" borderId="27" xfId="1" applyFont="1" applyFill="1" applyBorder="1" applyAlignment="1">
      <alignment horizontal="center" vertical="center" wrapText="1"/>
    </xf>
    <xf numFmtId="0" fontId="32" fillId="3" borderId="28" xfId="1" applyFont="1" applyFill="1" applyBorder="1" applyAlignment="1">
      <alignment horizontal="center" vertical="center" wrapText="1"/>
    </xf>
    <xf numFmtId="0" fontId="43" fillId="5" borderId="5" xfId="3" applyFont="1" applyFill="1" applyBorder="1" applyAlignment="1">
      <alignment horizontal="center" vertical="center" wrapText="1"/>
    </xf>
    <xf numFmtId="0" fontId="43" fillId="5" borderId="6" xfId="3" applyFont="1" applyFill="1" applyBorder="1" applyAlignment="1">
      <alignment horizontal="center" vertical="center" wrapText="1"/>
    </xf>
    <xf numFmtId="0" fontId="43" fillId="5" borderId="8" xfId="3" applyFont="1" applyFill="1" applyBorder="1" applyAlignment="1">
      <alignment horizontal="center" vertical="center" wrapText="1"/>
    </xf>
    <xf numFmtId="0" fontId="31" fillId="7" borderId="5" xfId="3" applyFont="1" applyFill="1" applyBorder="1" applyAlignment="1">
      <alignment horizontal="left" vertical="center" wrapText="1"/>
    </xf>
    <xf numFmtId="0" fontId="31" fillId="7" borderId="8" xfId="3" applyFont="1" applyFill="1" applyBorder="1" applyAlignment="1">
      <alignment horizontal="left" vertical="center" wrapText="1"/>
    </xf>
    <xf numFmtId="49" fontId="36" fillId="2" borderId="0" xfId="0" applyNumberFormat="1" applyFont="1" applyFill="1" applyAlignment="1">
      <alignment horizontal="left" vertical="center"/>
    </xf>
    <xf numFmtId="0" fontId="30" fillId="6" borderId="5" xfId="0" applyFont="1" applyFill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/>
    </xf>
    <xf numFmtId="0" fontId="30" fillId="6" borderId="8" xfId="0" applyFont="1" applyFill="1" applyBorder="1" applyAlignment="1">
      <alignment horizontal="center" vertical="center"/>
    </xf>
    <xf numFmtId="0" fontId="27" fillId="9" borderId="9" xfId="0" applyFont="1" applyFill="1" applyBorder="1" applyAlignment="1">
      <alignment horizontal="center" vertical="center" textRotation="90" wrapText="1"/>
    </xf>
    <xf numFmtId="0" fontId="27" fillId="0" borderId="9" xfId="0" applyFont="1" applyFill="1" applyBorder="1" applyAlignment="1">
      <alignment horizontal="center" vertical="center" wrapText="1"/>
    </xf>
    <xf numFmtId="0" fontId="27" fillId="8" borderId="9" xfId="0" applyFont="1" applyFill="1" applyBorder="1" applyAlignment="1">
      <alignment horizontal="center" vertical="center" textRotation="90" wrapText="1"/>
    </xf>
    <xf numFmtId="0" fontId="31" fillId="2" borderId="5" xfId="3" applyFont="1" applyFill="1" applyBorder="1" applyAlignment="1">
      <alignment horizontal="left" vertical="center" wrapText="1"/>
    </xf>
    <xf numFmtId="0" fontId="31" fillId="2" borderId="8" xfId="3" applyFont="1" applyFill="1" applyBorder="1" applyAlignment="1">
      <alignment horizontal="left" vertical="center" wrapText="1"/>
    </xf>
    <xf numFmtId="0" fontId="27" fillId="9" borderId="3" xfId="0" applyFont="1" applyFill="1" applyBorder="1" applyAlignment="1">
      <alignment horizontal="center" vertical="center" wrapText="1"/>
    </xf>
    <xf numFmtId="0" fontId="27" fillId="9" borderId="9" xfId="0" applyFont="1" applyFill="1" applyBorder="1" applyAlignment="1">
      <alignment horizontal="center" vertical="center" wrapText="1"/>
    </xf>
    <xf numFmtId="0" fontId="31" fillId="2" borderId="6" xfId="3" applyFont="1" applyFill="1" applyBorder="1" applyAlignment="1">
      <alignment horizontal="left" vertical="center" wrapText="1"/>
    </xf>
    <xf numFmtId="0" fontId="27" fillId="10" borderId="5" xfId="6" applyFont="1" applyFill="1" applyBorder="1" applyAlignment="1">
      <alignment horizontal="left" vertical="center"/>
    </xf>
    <xf numFmtId="0" fontId="27" fillId="10" borderId="6" xfId="6" applyFont="1" applyFill="1" applyBorder="1" applyAlignment="1">
      <alignment horizontal="left" vertical="center"/>
    </xf>
    <xf numFmtId="0" fontId="27" fillId="10" borderId="8" xfId="6" applyFont="1" applyFill="1" applyBorder="1" applyAlignment="1">
      <alignment horizontal="left" vertical="center"/>
    </xf>
    <xf numFmtId="0" fontId="43" fillId="5" borderId="7" xfId="3" applyFont="1" applyFill="1" applyBorder="1" applyAlignment="1">
      <alignment horizontal="center" vertical="center" wrapText="1"/>
    </xf>
    <xf numFmtId="0" fontId="43" fillId="5" borderId="29" xfId="3" applyFont="1" applyFill="1" applyBorder="1" applyAlignment="1">
      <alignment horizontal="center" vertical="center" wrapText="1"/>
    </xf>
    <xf numFmtId="0" fontId="43" fillId="5" borderId="14" xfId="3" applyFont="1" applyFill="1" applyBorder="1" applyAlignment="1">
      <alignment horizontal="center" vertical="center" wrapText="1"/>
    </xf>
    <xf numFmtId="0" fontId="27" fillId="5" borderId="11" xfId="6" applyFont="1" applyFill="1" applyBorder="1" applyAlignment="1">
      <alignment horizontal="center" vertical="center"/>
    </xf>
    <xf numFmtId="0" fontId="27" fillId="5" borderId="12" xfId="6" applyFont="1" applyFill="1" applyBorder="1" applyAlignment="1">
      <alignment horizontal="center" vertical="center"/>
    </xf>
    <xf numFmtId="0" fontId="27" fillId="5" borderId="13" xfId="6" applyFont="1" applyFill="1" applyBorder="1" applyAlignment="1">
      <alignment horizontal="center" vertical="center"/>
    </xf>
    <xf numFmtId="0" fontId="28" fillId="0" borderId="3" xfId="6" applyFont="1" applyFill="1" applyBorder="1" applyAlignment="1">
      <alignment horizontal="center" vertical="center" wrapText="1"/>
    </xf>
    <xf numFmtId="0" fontId="28" fillId="0" borderId="9" xfId="6" applyFont="1" applyFill="1" applyBorder="1" applyAlignment="1">
      <alignment horizontal="center" vertical="center" wrapText="1"/>
    </xf>
    <xf numFmtId="0" fontId="94" fillId="0" borderId="0" xfId="6" applyAlignment="1">
      <alignment horizontal="left" vertical="top" wrapText="1"/>
    </xf>
    <xf numFmtId="0" fontId="27" fillId="9" borderId="3" xfId="6" applyFont="1" applyFill="1" applyBorder="1" applyAlignment="1">
      <alignment horizontal="center" vertical="center" textRotation="90" wrapText="1"/>
    </xf>
    <xf numFmtId="0" fontId="27" fillId="9" borderId="9" xfId="6" applyFont="1" applyFill="1" applyBorder="1" applyAlignment="1">
      <alignment horizontal="center" vertical="center" textRotation="90" wrapText="1"/>
    </xf>
    <xf numFmtId="0" fontId="27" fillId="8" borderId="5" xfId="6" applyFont="1" applyFill="1" applyBorder="1" applyAlignment="1">
      <alignment horizontal="center" vertical="center" wrapText="1"/>
    </xf>
    <xf numFmtId="0" fontId="27" fillId="8" borderId="8" xfId="6" applyFont="1" applyFill="1" applyBorder="1" applyAlignment="1">
      <alignment horizontal="center" vertical="center" wrapText="1"/>
    </xf>
    <xf numFmtId="0" fontId="27" fillId="5" borderId="5" xfId="6" applyFont="1" applyFill="1" applyBorder="1" applyAlignment="1">
      <alignment horizontal="center" vertical="center"/>
    </xf>
    <xf numFmtId="0" fontId="27" fillId="5" borderId="6" xfId="6" applyFont="1" applyFill="1" applyBorder="1" applyAlignment="1">
      <alignment horizontal="center" vertical="center"/>
    </xf>
    <xf numFmtId="0" fontId="27" fillId="5" borderId="8" xfId="6" applyFont="1" applyFill="1" applyBorder="1" applyAlignment="1">
      <alignment horizontal="center" vertical="center"/>
    </xf>
    <xf numFmtId="0" fontId="27" fillId="9" borderId="5" xfId="6" applyFont="1" applyFill="1" applyBorder="1" applyAlignment="1">
      <alignment horizontal="center" vertical="center" wrapText="1"/>
    </xf>
    <xf numFmtId="0" fontId="27" fillId="9" borderId="6" xfId="6" applyFont="1" applyFill="1" applyBorder="1" applyAlignment="1">
      <alignment horizontal="center" vertical="center" wrapText="1"/>
    </xf>
    <xf numFmtId="0" fontId="27" fillId="9" borderId="8" xfId="6" applyFont="1" applyFill="1" applyBorder="1" applyAlignment="1">
      <alignment horizontal="center" vertical="center" wrapText="1"/>
    </xf>
    <xf numFmtId="0" fontId="27" fillId="8" borderId="6" xfId="6" applyFont="1" applyFill="1" applyBorder="1" applyAlignment="1">
      <alignment horizontal="center" vertical="center" wrapText="1"/>
    </xf>
    <xf numFmtId="0" fontId="27" fillId="8" borderId="3" xfId="6" applyFont="1" applyFill="1" applyBorder="1" applyAlignment="1">
      <alignment horizontal="center" vertical="center" textRotation="90" wrapText="1"/>
    </xf>
    <xf numFmtId="0" fontId="27" fillId="8" borderId="9" xfId="6" applyFont="1" applyFill="1" applyBorder="1" applyAlignment="1">
      <alignment horizontal="center" vertical="center" textRotation="90" wrapText="1"/>
    </xf>
    <xf numFmtId="49" fontId="27" fillId="0" borderId="1" xfId="6" applyNumberFormat="1" applyFont="1" applyFill="1" applyBorder="1" applyAlignment="1">
      <alignment horizontal="center" vertical="center"/>
    </xf>
    <xf numFmtId="49" fontId="27" fillId="0" borderId="3" xfId="6" applyNumberFormat="1" applyFont="1" applyFill="1" applyBorder="1" applyAlignment="1">
      <alignment horizontal="center" vertical="center"/>
    </xf>
    <xf numFmtId="0" fontId="27" fillId="0" borderId="1" xfId="6" applyFont="1" applyFill="1" applyBorder="1" applyAlignment="1">
      <alignment horizontal="center" vertical="center" wrapText="1"/>
    </xf>
    <xf numFmtId="0" fontId="27" fillId="0" borderId="3" xfId="6" applyFont="1" applyFill="1" applyBorder="1" applyAlignment="1">
      <alignment horizontal="center" vertical="center" wrapText="1"/>
    </xf>
    <xf numFmtId="0" fontId="24" fillId="0" borderId="1" xfId="6" applyFont="1" applyFill="1" applyBorder="1" applyAlignment="1">
      <alignment horizontal="center" vertical="center" wrapText="1"/>
    </xf>
    <xf numFmtId="0" fontId="27" fillId="0" borderId="9" xfId="6" applyFont="1" applyFill="1" applyBorder="1" applyAlignment="1">
      <alignment horizontal="center" vertical="center" wrapText="1"/>
    </xf>
    <xf numFmtId="0" fontId="50" fillId="0" borderId="0" xfId="6" applyFont="1" applyFill="1" applyBorder="1" applyAlignment="1">
      <alignment horizontal="center" vertical="center" wrapText="1"/>
    </xf>
    <xf numFmtId="0" fontId="52" fillId="0" borderId="0" xfId="6" applyFont="1" applyFill="1" applyBorder="1" applyAlignment="1">
      <alignment horizontal="center" vertical="center"/>
    </xf>
    <xf numFmtId="0" fontId="25" fillId="0" borderId="0" xfId="6" applyFont="1" applyFill="1" applyBorder="1" applyAlignment="1">
      <alignment horizontal="left" vertical="center" wrapText="1"/>
    </xf>
    <xf numFmtId="0" fontId="51" fillId="0" borderId="0" xfId="6" applyFont="1" applyFill="1" applyBorder="1" applyAlignment="1">
      <alignment horizontal="center" vertical="center"/>
    </xf>
    <xf numFmtId="0" fontId="48" fillId="0" borderId="0" xfId="6" applyFont="1" applyFill="1" applyBorder="1" applyAlignment="1">
      <alignment horizontal="left" vertical="center" wrapText="1"/>
    </xf>
    <xf numFmtId="0" fontId="9" fillId="0" borderId="5" xfId="6" applyFont="1" applyFill="1" applyBorder="1" applyAlignment="1">
      <alignment horizontal="center" vertical="center"/>
    </xf>
    <xf numFmtId="0" fontId="9" fillId="0" borderId="6" xfId="6" applyFont="1" applyFill="1" applyBorder="1" applyAlignment="1">
      <alignment horizontal="center" vertical="center"/>
    </xf>
    <xf numFmtId="0" fontId="9" fillId="0" borderId="8" xfId="6" applyFont="1" applyFill="1" applyBorder="1" applyAlignment="1">
      <alignment horizontal="center" vertical="center"/>
    </xf>
    <xf numFmtId="0" fontId="9" fillId="0" borderId="6" xfId="6" applyFont="1" applyFill="1" applyBorder="1" applyAlignment="1">
      <alignment horizontal="center" vertical="center" wrapText="1"/>
    </xf>
    <xf numFmtId="0" fontId="9" fillId="0" borderId="8" xfId="6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8" fillId="10" borderId="5" xfId="0" applyFont="1" applyFill="1" applyBorder="1" applyAlignment="1">
      <alignment horizontal="left" vertical="center"/>
    </xf>
    <xf numFmtId="0" fontId="8" fillId="10" borderId="6" xfId="0" applyFont="1" applyFill="1" applyBorder="1" applyAlignment="1">
      <alignment horizontal="left" vertical="center"/>
    </xf>
    <xf numFmtId="0" fontId="8" fillId="10" borderId="8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center" vertical="center" wrapText="1"/>
    </xf>
    <xf numFmtId="0" fontId="61" fillId="3" borderId="5" xfId="1" applyFont="1" applyFill="1" applyBorder="1" applyAlignment="1">
      <alignment horizontal="center" vertical="center" wrapText="1"/>
    </xf>
    <xf numFmtId="0" fontId="61" fillId="3" borderId="6" xfId="1" applyFont="1" applyFill="1" applyBorder="1" applyAlignment="1">
      <alignment horizontal="center" vertical="center" wrapText="1"/>
    </xf>
    <xf numFmtId="0" fontId="61" fillId="3" borderId="8" xfId="1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63" fillId="5" borderId="5" xfId="3" applyFont="1" applyFill="1" applyBorder="1" applyAlignment="1">
      <alignment horizontal="center" vertical="center" wrapText="1"/>
    </xf>
    <xf numFmtId="0" fontId="63" fillId="5" borderId="6" xfId="3" applyFont="1" applyFill="1" applyBorder="1" applyAlignment="1">
      <alignment horizontal="center" vertical="center" wrapText="1"/>
    </xf>
    <xf numFmtId="0" fontId="63" fillId="5" borderId="8" xfId="3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62" fillId="2" borderId="7" xfId="0" applyFont="1" applyFill="1" applyBorder="1" applyAlignment="1">
      <alignment horizontal="left" vertical="center" wrapText="1"/>
    </xf>
    <xf numFmtId="0" fontId="62" fillId="2" borderId="14" xfId="0" applyFont="1" applyFill="1" applyBorder="1" applyAlignment="1">
      <alignment horizontal="left" vertical="center" wrapText="1"/>
    </xf>
    <xf numFmtId="0" fontId="62" fillId="2" borderId="21" xfId="0" applyFont="1" applyFill="1" applyBorder="1" applyAlignment="1">
      <alignment horizontal="left" vertical="center" wrapText="1"/>
    </xf>
    <xf numFmtId="0" fontId="62" fillId="2" borderId="22" xfId="0" applyFont="1" applyFill="1" applyBorder="1" applyAlignment="1">
      <alignment horizontal="left" vertical="center" wrapText="1"/>
    </xf>
    <xf numFmtId="0" fontId="62" fillId="0" borderId="5" xfId="3" applyFont="1" applyFill="1" applyBorder="1" applyAlignment="1">
      <alignment horizontal="left" vertical="center" wrapText="1"/>
    </xf>
    <xf numFmtId="0" fontId="62" fillId="0" borderId="8" xfId="3" applyFont="1" applyFill="1" applyBorder="1" applyAlignment="1">
      <alignment horizontal="left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9" xfId="0" applyFont="1" applyBorder="1" applyAlignment="1">
      <alignment horizontal="center" vertical="center" textRotation="90"/>
    </xf>
    <xf numFmtId="49" fontId="0" fillId="11" borderId="5" xfId="0" applyNumberFormat="1" applyFill="1" applyBorder="1" applyAlignment="1">
      <alignment horizontal="left" vertical="center"/>
    </xf>
    <xf numFmtId="0" fontId="0" fillId="11" borderId="6" xfId="0" applyFill="1" applyBorder="1" applyAlignment="1">
      <alignment horizontal="left" vertical="center"/>
    </xf>
    <xf numFmtId="0" fontId="0" fillId="11" borderId="8" xfId="0" applyFill="1" applyBorder="1" applyAlignment="1">
      <alignment horizontal="left" vertical="center"/>
    </xf>
    <xf numFmtId="0" fontId="12" fillId="0" borderId="1" xfId="0" applyFont="1" applyBorder="1" applyAlignment="1">
      <alignment horizontal="right" vertical="center" textRotation="90"/>
    </xf>
    <xf numFmtId="49" fontId="0" fillId="11" borderId="6" xfId="0" applyNumberFormat="1" applyFill="1" applyBorder="1" applyAlignment="1">
      <alignment horizontal="left" vertical="center"/>
    </xf>
    <xf numFmtId="49" fontId="0" fillId="11" borderId="8" xfId="0" applyNumberFormat="1" applyFill="1" applyBorder="1" applyAlignment="1">
      <alignment horizontal="left" vertical="center"/>
    </xf>
    <xf numFmtId="164" fontId="24" fillId="11" borderId="5" xfId="0" applyNumberFormat="1" applyFont="1" applyFill="1" applyBorder="1" applyAlignment="1">
      <alignment horizontal="left" vertical="center"/>
    </xf>
    <xf numFmtId="164" fontId="24" fillId="11" borderId="6" xfId="0" applyNumberFormat="1" applyFont="1" applyFill="1" applyBorder="1" applyAlignment="1">
      <alignment horizontal="left" vertical="center"/>
    </xf>
    <xf numFmtId="164" fontId="24" fillId="11" borderId="8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textRotation="90" wrapText="1"/>
    </xf>
    <xf numFmtId="0" fontId="28" fillId="0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66" fillId="0" borderId="0" xfId="0" applyFont="1" applyFill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64" fontId="8" fillId="13" borderId="5" xfId="0" applyNumberFormat="1" applyFont="1" applyFill="1" applyBorder="1" applyAlignment="1">
      <alignment horizontal="left" vertical="center" wrapText="1"/>
    </xf>
    <xf numFmtId="164" fontId="8" fillId="13" borderId="6" xfId="0" applyNumberFormat="1" applyFont="1" applyFill="1" applyBorder="1" applyAlignment="1">
      <alignment horizontal="left" vertical="center" wrapText="1"/>
    </xf>
    <xf numFmtId="164" fontId="8" fillId="13" borderId="8" xfId="0" applyNumberFormat="1" applyFont="1" applyFill="1" applyBorder="1" applyAlignment="1">
      <alignment horizontal="left" vertical="center" wrapText="1"/>
    </xf>
    <xf numFmtId="0" fontId="7" fillId="13" borderId="5" xfId="0" applyFont="1" applyFill="1" applyBorder="1" applyAlignment="1">
      <alignment horizontal="left" vertical="center"/>
    </xf>
    <xf numFmtId="0" fontId="7" fillId="13" borderId="6" xfId="0" applyFont="1" applyFill="1" applyBorder="1" applyAlignment="1">
      <alignment horizontal="left" vertical="center"/>
    </xf>
    <xf numFmtId="0" fontId="7" fillId="13" borderId="8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8" fillId="12" borderId="5" xfId="0" applyNumberFormat="1" applyFont="1" applyFill="1" applyBorder="1" applyAlignment="1">
      <alignment horizontal="left" vertical="center" wrapText="1"/>
    </xf>
    <xf numFmtId="164" fontId="8" fillId="12" borderId="6" xfId="0" applyNumberFormat="1" applyFont="1" applyFill="1" applyBorder="1" applyAlignment="1">
      <alignment horizontal="left" vertical="center" wrapText="1"/>
    </xf>
    <xf numFmtId="164" fontId="8" fillId="12" borderId="8" xfId="0" applyNumberFormat="1" applyFont="1" applyFill="1" applyBorder="1" applyAlignment="1">
      <alignment horizontal="left" vertical="center" wrapText="1"/>
    </xf>
    <xf numFmtId="0" fontId="0" fillId="11" borderId="5" xfId="0" applyFill="1" applyBorder="1" applyAlignment="1">
      <alignment horizontal="left" vertical="center"/>
    </xf>
    <xf numFmtId="49" fontId="0" fillId="11" borderId="20" xfId="0" applyNumberFormat="1" applyFill="1" applyBorder="1" applyAlignment="1">
      <alignment horizontal="left" vertical="center"/>
    </xf>
    <xf numFmtId="49" fontId="0" fillId="11" borderId="22" xfId="0" applyNumberFormat="1" applyFill="1" applyBorder="1" applyAlignment="1">
      <alignment horizontal="left" vertical="center"/>
    </xf>
    <xf numFmtId="0" fontId="94" fillId="0" borderId="0" xfId="6" applyAlignment="1">
      <alignment wrapText="1"/>
    </xf>
    <xf numFmtId="0" fontId="15" fillId="0" borderId="0" xfId="6" applyFont="1"/>
    <xf numFmtId="0" fontId="58" fillId="0" borderId="0" xfId="6" applyFont="1"/>
    <xf numFmtId="0" fontId="31" fillId="8" borderId="1" xfId="6" applyFont="1" applyFill="1" applyBorder="1" applyAlignment="1">
      <alignment horizontal="center" vertical="center" wrapText="1"/>
    </xf>
    <xf numFmtId="0" fontId="31" fillId="9" borderId="1" xfId="6" applyFont="1" applyFill="1" applyBorder="1" applyAlignment="1">
      <alignment horizontal="center" vertical="center" wrapText="1"/>
    </xf>
    <xf numFmtId="49" fontId="24" fillId="0" borderId="1" xfId="6" applyNumberFormat="1" applyFont="1" applyFill="1" applyBorder="1" applyAlignment="1">
      <alignment horizontal="center" vertical="center" wrapText="1"/>
    </xf>
    <xf numFmtId="49" fontId="24" fillId="0" borderId="1" xfId="6" applyNumberFormat="1" applyFont="1" applyFill="1" applyBorder="1" applyAlignment="1">
      <alignment horizontal="center" vertical="center"/>
    </xf>
    <xf numFmtId="0" fontId="42" fillId="9" borderId="1" xfId="6" applyFont="1" applyFill="1" applyBorder="1" applyAlignment="1">
      <alignment horizontal="center" vertical="center" wrapText="1"/>
    </xf>
    <xf numFmtId="0" fontId="41" fillId="9" borderId="1" xfId="6" applyFont="1" applyFill="1" applyBorder="1" applyAlignment="1">
      <alignment horizontal="center" vertical="center" wrapText="1"/>
    </xf>
    <xf numFmtId="0" fontId="86" fillId="0" borderId="1" xfId="6" applyFont="1" applyFill="1" applyBorder="1" applyAlignment="1">
      <alignment horizontal="center" vertical="center" wrapText="1"/>
    </xf>
    <xf numFmtId="0" fontId="32" fillId="0" borderId="1" xfId="6" applyFont="1" applyFill="1" applyBorder="1" applyAlignment="1">
      <alignment horizontal="center" vertical="center" wrapText="1"/>
    </xf>
    <xf numFmtId="14" fontId="86" fillId="0" borderId="1" xfId="6" applyNumberFormat="1" applyFont="1" applyFill="1" applyBorder="1" applyAlignment="1">
      <alignment horizontal="left" vertical="center" wrapText="1"/>
    </xf>
    <xf numFmtId="0" fontId="82" fillId="8" borderId="1" xfId="6" applyFont="1" applyFill="1" applyBorder="1" applyAlignment="1">
      <alignment horizontal="center" vertical="center" wrapText="1"/>
    </xf>
    <xf numFmtId="0" fontId="41" fillId="8" borderId="1" xfId="6" applyFont="1" applyFill="1" applyBorder="1" applyAlignment="1">
      <alignment horizontal="center" vertical="center" wrapText="1"/>
    </xf>
    <xf numFmtId="0" fontId="41" fillId="0" borderId="1" xfId="6" applyFont="1" applyFill="1" applyBorder="1" applyAlignment="1">
      <alignment horizontal="center" vertical="center" wrapText="1"/>
    </xf>
    <xf numFmtId="49" fontId="86" fillId="0" borderId="1" xfId="6" applyNumberFormat="1" applyFont="1" applyFill="1" applyBorder="1" applyAlignment="1">
      <alignment horizontal="center" vertical="center"/>
    </xf>
    <xf numFmtId="0" fontId="94" fillId="0" borderId="0" xfId="6" applyAlignment="1">
      <alignment horizontal="center"/>
    </xf>
    <xf numFmtId="0" fontId="7" fillId="0" borderId="0" xfId="6" applyFont="1"/>
    <xf numFmtId="164" fontId="94" fillId="0" borderId="0" xfId="6" applyNumberFormat="1" applyAlignment="1">
      <alignment horizontal="center"/>
    </xf>
    <xf numFmtId="0" fontId="27" fillId="3" borderId="17" xfId="6" applyFont="1" applyFill="1" applyBorder="1" applyAlignment="1">
      <alignment horizontal="center" vertical="center"/>
    </xf>
    <xf numFmtId="0" fontId="59" fillId="3" borderId="17" xfId="6" applyFont="1" applyFill="1" applyBorder="1" applyAlignment="1">
      <alignment horizontal="center" vertical="center"/>
    </xf>
    <xf numFmtId="0" fontId="32" fillId="3" borderId="23" xfId="7" applyFont="1" applyFill="1" applyBorder="1" applyAlignment="1">
      <alignment horizontal="center" vertical="center" wrapText="1"/>
    </xf>
    <xf numFmtId="0" fontId="32" fillId="3" borderId="25" xfId="7" applyFont="1" applyFill="1" applyBorder="1" applyAlignment="1">
      <alignment horizontal="center" vertical="center" wrapText="1"/>
    </xf>
    <xf numFmtId="0" fontId="32" fillId="3" borderId="16" xfId="7" applyFont="1" applyFill="1" applyBorder="1" applyAlignment="1">
      <alignment horizontal="center" vertical="center" wrapText="1"/>
    </xf>
    <xf numFmtId="49" fontId="24" fillId="0" borderId="9" xfId="6" applyNumberFormat="1" applyFont="1" applyFill="1" applyBorder="1" applyAlignment="1">
      <alignment horizontal="center" vertical="center"/>
    </xf>
    <xf numFmtId="0" fontId="56" fillId="0" borderId="1" xfId="6" applyFont="1" applyFill="1" applyBorder="1" applyAlignment="1">
      <alignment vertical="center" wrapText="1"/>
    </xf>
    <xf numFmtId="164" fontId="24" fillId="0" borderId="1" xfId="6" applyNumberFormat="1" applyFont="1" applyFill="1" applyBorder="1" applyAlignment="1">
      <alignment horizontal="center" vertical="center"/>
    </xf>
    <xf numFmtId="0" fontId="42" fillId="8" borderId="1" xfId="6" applyFont="1" applyFill="1" applyBorder="1" applyAlignment="1">
      <alignment horizontal="center" vertical="center" wrapText="1"/>
    </xf>
    <xf numFmtId="2" fontId="24" fillId="0" borderId="1" xfId="6" applyNumberFormat="1" applyFont="1" applyFill="1" applyBorder="1" applyAlignment="1">
      <alignment horizontal="center" vertical="center"/>
    </xf>
    <xf numFmtId="0" fontId="29" fillId="0" borderId="1" xfId="6" applyFont="1" applyFill="1" applyBorder="1" applyAlignment="1">
      <alignment vertical="center" wrapText="1"/>
    </xf>
    <xf numFmtId="0" fontId="29" fillId="0" borderId="7" xfId="6" applyFont="1" applyFill="1" applyBorder="1" applyAlignment="1">
      <alignment vertical="center" wrapText="1"/>
    </xf>
    <xf numFmtId="0" fontId="41" fillId="6" borderId="6" xfId="6" applyFont="1" applyFill="1" applyBorder="1" applyAlignment="1">
      <alignment vertical="center"/>
    </xf>
    <xf numFmtId="0" fontId="41" fillId="5" borderId="1" xfId="6" applyFont="1" applyFill="1" applyBorder="1" applyAlignment="1">
      <alignment horizontal="center" vertical="center" wrapText="1"/>
    </xf>
    <xf numFmtId="0" fontId="79" fillId="0" borderId="7" xfId="6" applyFont="1" applyFill="1" applyBorder="1" applyAlignment="1">
      <alignment vertical="center" wrapText="1"/>
    </xf>
    <xf numFmtId="0" fontId="79" fillId="0" borderId="1" xfId="6" applyFont="1" applyFill="1" applyBorder="1" applyAlignment="1">
      <alignment vertical="center" wrapText="1"/>
    </xf>
    <xf numFmtId="164" fontId="53" fillId="0" borderId="5" xfId="6" applyNumberFormat="1" applyFont="1" applyFill="1" applyBorder="1" applyAlignment="1">
      <alignment horizontal="center" vertical="center"/>
    </xf>
    <xf numFmtId="0" fontId="27" fillId="6" borderId="20" xfId="6" applyFont="1" applyFill="1" applyBorder="1" applyAlignment="1">
      <alignment vertical="center"/>
    </xf>
    <xf numFmtId="0" fontId="27" fillId="6" borderId="20" xfId="6" applyFont="1" applyFill="1" applyBorder="1" applyAlignment="1">
      <alignment horizontal="left" vertical="center"/>
    </xf>
    <xf numFmtId="0" fontId="27" fillId="6" borderId="21" xfId="6" applyFont="1" applyFill="1" applyBorder="1" applyAlignment="1">
      <alignment vertical="center"/>
    </xf>
    <xf numFmtId="0" fontId="41" fillId="5" borderId="5" xfId="6" applyFont="1" applyFill="1" applyBorder="1" applyAlignment="1">
      <alignment horizontal="center" vertical="center" wrapText="1"/>
    </xf>
    <xf numFmtId="0" fontId="31" fillId="5" borderId="1" xfId="6" applyFont="1" applyFill="1" applyBorder="1" applyAlignment="1">
      <alignment horizontal="center" vertical="center" wrapText="1"/>
    </xf>
    <xf numFmtId="0" fontId="61" fillId="5" borderId="1" xfId="6" applyFont="1" applyFill="1" applyBorder="1" applyAlignment="1">
      <alignment horizontal="left" vertical="center"/>
    </xf>
    <xf numFmtId="0" fontId="61" fillId="5" borderId="1" xfId="6" applyFont="1" applyFill="1" applyBorder="1" applyAlignment="1">
      <alignment horizontal="center" vertical="center"/>
    </xf>
    <xf numFmtId="0" fontId="61" fillId="5" borderId="8" xfId="6" applyFont="1" applyFill="1" applyBorder="1" applyAlignment="1">
      <alignment horizontal="center" vertical="center"/>
    </xf>
    <xf numFmtId="0" fontId="61" fillId="5" borderId="6" xfId="6" applyFont="1" applyFill="1" applyBorder="1" applyAlignment="1">
      <alignment horizontal="center" vertical="center"/>
    </xf>
    <xf numFmtId="0" fontId="61" fillId="5" borderId="5" xfId="6" applyFont="1" applyFill="1" applyBorder="1" applyAlignment="1">
      <alignment horizontal="center" vertical="center"/>
    </xf>
    <xf numFmtId="0" fontId="41" fillId="2" borderId="3" xfId="6" applyFont="1" applyFill="1" applyBorder="1" applyAlignment="1">
      <alignment horizontal="center" vertical="center" wrapText="1"/>
    </xf>
    <xf numFmtId="0" fontId="41" fillId="15" borderId="3" xfId="6" applyFont="1" applyFill="1" applyBorder="1" applyAlignment="1">
      <alignment horizontal="center" vertical="center" wrapText="1"/>
    </xf>
    <xf numFmtId="0" fontId="87" fillId="15" borderId="3" xfId="6" applyFont="1" applyFill="1" applyBorder="1" applyAlignment="1">
      <alignment horizontal="center" vertical="center" wrapText="1"/>
    </xf>
    <xf numFmtId="0" fontId="41" fillId="11" borderId="3" xfId="6" applyFont="1" applyFill="1" applyBorder="1" applyAlignment="1">
      <alignment horizontal="center" vertical="center" wrapText="1"/>
    </xf>
    <xf numFmtId="0" fontId="61" fillId="11" borderId="3" xfId="6" applyFont="1" applyFill="1" applyBorder="1" applyAlignment="1">
      <alignment horizontal="left" vertical="center"/>
    </xf>
    <xf numFmtId="0" fontId="91" fillId="11" borderId="3" xfId="6" applyFont="1" applyFill="1" applyBorder="1" applyAlignment="1">
      <alignment horizontal="center" vertical="center"/>
    </xf>
    <xf numFmtId="0" fontId="61" fillId="11" borderId="3" xfId="6" applyFont="1" applyFill="1" applyBorder="1" applyAlignment="1">
      <alignment horizontal="center" vertical="center"/>
    </xf>
    <xf numFmtId="0" fontId="61" fillId="2" borderId="3" xfId="6" applyFont="1" applyFill="1" applyBorder="1" applyAlignment="1">
      <alignment horizontal="left" vertical="center"/>
    </xf>
    <xf numFmtId="0" fontId="61" fillId="2" borderId="3" xfId="6" applyFont="1" applyFill="1" applyBorder="1" applyAlignment="1">
      <alignment horizontal="center" vertical="center"/>
    </xf>
    <xf numFmtId="14" fontId="24" fillId="0" borderId="3" xfId="6" applyNumberFormat="1" applyFont="1" applyFill="1" applyBorder="1" applyAlignment="1">
      <alignment horizontal="left" vertical="center" wrapText="1"/>
    </xf>
    <xf numFmtId="0" fontId="76" fillId="2" borderId="3" xfId="6" applyFont="1" applyFill="1" applyBorder="1" applyAlignment="1">
      <alignment horizontal="left" vertical="center"/>
    </xf>
    <xf numFmtId="0" fontId="30" fillId="6" borderId="22" xfId="6" applyFont="1" applyFill="1" applyBorder="1" applyAlignment="1">
      <alignment vertical="center"/>
    </xf>
    <xf numFmtId="49" fontId="36" fillId="0" borderId="20" xfId="6" applyNumberFormat="1" applyFont="1" applyBorder="1" applyAlignment="1">
      <alignment horizontal="left" vertical="center"/>
    </xf>
  </cellXfs>
  <cellStyles count="8">
    <cellStyle name="Dziesiętny" xfId="5" builtinId="3"/>
    <cellStyle name="Normalny" xfId="0" builtinId="0"/>
    <cellStyle name="Normalny 2" xfId="1"/>
    <cellStyle name="Normalny 2 2" xfId="4"/>
    <cellStyle name="Normalny 2 3" xfId="7"/>
    <cellStyle name="Normalny 3" xfId="3"/>
    <cellStyle name="Normalny 4" xfId="2"/>
    <cellStyle name="Normalny 5" xfId="6"/>
  </cellStyles>
  <dxfs count="0"/>
  <tableStyles count="0" defaultTableStyle="TableStyleMedium2" defaultPivotStyle="PivotStyleLight16"/>
  <colors>
    <mruColors>
      <color rgb="FFD2E8FF"/>
      <color rgb="FFC4C4C4"/>
      <color rgb="FFE2E2E2"/>
      <color rgb="FFFDFECA"/>
      <color rgb="FFFF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25</xdr:col>
      <xdr:colOff>430141</xdr:colOff>
      <xdr:row>0</xdr:row>
      <xdr:rowOff>438150</xdr:rowOff>
    </xdr:to>
    <xdr:sp macro="" textlink="">
      <xdr:nvSpPr>
        <xdr:cNvPr id="3300" name="Text Box 3"/>
        <xdr:cNvSpPr txBox="1">
          <a:spLocks noChangeArrowheads="1"/>
        </xdr:cNvSpPr>
      </xdr:nvSpPr>
      <xdr:spPr bwMode="auto">
        <a:xfrm>
          <a:off x="11963400" y="133350"/>
          <a:ext cx="8763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309563</xdr:colOff>
      <xdr:row>51</xdr:row>
      <xdr:rowOff>419101</xdr:rowOff>
    </xdr:from>
    <xdr:ext cx="2000251" cy="1202531"/>
    <xdr:sp macro="" textlink="">
      <xdr:nvSpPr>
        <xdr:cNvPr id="7" name="pole tekstowe 6"/>
        <xdr:cNvSpPr txBox="1"/>
      </xdr:nvSpPr>
      <xdr:spPr>
        <a:xfrm>
          <a:off x="309563" y="17052132"/>
          <a:ext cx="2000251" cy="120253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W-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wykład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ćwieczenia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ćwiczenia p[raktyczne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-praktyki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L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laboratoria</a:t>
          </a:r>
        </a:p>
      </xdr:txBody>
    </xdr:sp>
    <xdr:clientData/>
  </xdr:oneCellAnchor>
  <xdr:twoCellAnchor>
    <xdr:from>
      <xdr:col>26</xdr:col>
      <xdr:colOff>333375</xdr:colOff>
      <xdr:row>0</xdr:row>
      <xdr:rowOff>47626</xdr:rowOff>
    </xdr:from>
    <xdr:to>
      <xdr:col>30</xdr:col>
      <xdr:colOff>631031</xdr:colOff>
      <xdr:row>0</xdr:row>
      <xdr:rowOff>523876</xdr:rowOff>
    </xdr:to>
    <xdr:sp macro="" textlink="">
      <xdr:nvSpPr>
        <xdr:cNvPr id="3" name="pole tekstowe 2"/>
        <xdr:cNvSpPr txBox="1"/>
      </xdr:nvSpPr>
      <xdr:spPr>
        <a:xfrm>
          <a:off x="17073563" y="47626"/>
          <a:ext cx="2297906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Obowiązuje dla kształcenia</a:t>
          </a:r>
        </a:p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od roku akademickiego 2018/2019</a:t>
          </a: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22</xdr:col>
      <xdr:colOff>440530</xdr:colOff>
      <xdr:row>1</xdr:row>
      <xdr:rowOff>190500</xdr:rowOff>
    </xdr:from>
    <xdr:to>
      <xdr:col>30</xdr:col>
      <xdr:colOff>137774</xdr:colOff>
      <xdr:row>3</xdr:row>
      <xdr:rowOff>322035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13780" y="833438"/>
          <a:ext cx="4170025" cy="1036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26</xdr:col>
      <xdr:colOff>122960</xdr:colOff>
      <xdr:row>1</xdr:row>
      <xdr:rowOff>157162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3253025" y="133350"/>
          <a:ext cx="865910" cy="309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26</xdr:col>
      <xdr:colOff>134866</xdr:colOff>
      <xdr:row>0</xdr:row>
      <xdr:rowOff>438150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154114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142876</xdr:colOff>
      <xdr:row>64</xdr:row>
      <xdr:rowOff>205053</xdr:rowOff>
    </xdr:from>
    <xdr:ext cx="2000251" cy="1202531"/>
    <xdr:sp macro="" textlink="">
      <xdr:nvSpPr>
        <xdr:cNvPr id="6" name="pole tekstowe 5"/>
        <xdr:cNvSpPr txBox="1"/>
      </xdr:nvSpPr>
      <xdr:spPr>
        <a:xfrm>
          <a:off x="142876" y="18376636"/>
          <a:ext cx="2000251" cy="120253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Formy zajęć: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W-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wykład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ćwieczenia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ćwiczenia p[raktyczne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-praktyki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L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laboratoria</a:t>
          </a:r>
        </a:p>
      </xdr:txBody>
    </xdr:sp>
    <xdr:clientData/>
  </xdr:oneCellAnchor>
  <xdr:twoCellAnchor editAs="oneCell">
    <xdr:from>
      <xdr:col>24</xdr:col>
      <xdr:colOff>257175</xdr:colOff>
      <xdr:row>0</xdr:row>
      <xdr:rowOff>133350</xdr:rowOff>
    </xdr:from>
    <xdr:to>
      <xdr:col>26</xdr:col>
      <xdr:colOff>134867</xdr:colOff>
      <xdr:row>0</xdr:row>
      <xdr:rowOff>438150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15887700" y="133350"/>
          <a:ext cx="877817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22</xdr:col>
      <xdr:colOff>214311</xdr:colOff>
      <xdr:row>1</xdr:row>
      <xdr:rowOff>119061</xdr:rowOff>
    </xdr:from>
    <xdr:ext cx="4167187" cy="1035845"/>
    <xdr:sp macro="" textlink="">
      <xdr:nvSpPr>
        <xdr:cNvPr id="13" name="pole tekstowe 12"/>
        <xdr:cNvSpPr txBox="1"/>
      </xdr:nvSpPr>
      <xdr:spPr>
        <a:xfrm>
          <a:off x="13227842" y="666749"/>
          <a:ext cx="4167187" cy="1035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900"/>
            <a:t>Rozporządzenie Ministra Nauki i Szkolnictwa Wyższego z dnia 9 maja 2012 roku w sprawie standardów kształcenia dla kierunku studiów: lekarskiego, lekarsko-dentystycznego, farmacji, pielęgniarstwa  (Dz. U.2012 poz. 631)</a:t>
          </a:r>
          <a:r>
            <a:rPr lang="pl-PL" sz="900" baseline="0"/>
            <a:t> oraz</a:t>
          </a:r>
        </a:p>
        <a:p>
          <a:pPr algn="ctr"/>
          <a:r>
            <a:rPr lang="en-US" sz="900"/>
            <a:t>Rozporządzenie Ministra Nauki i Szkolnictwa Wyższego z dnia 17 listopada 2016 r. </a:t>
          </a:r>
        </a:p>
        <a:p>
          <a:pPr algn="ctr"/>
          <a:r>
            <a:rPr lang="en-US" sz="900"/>
            <a:t>zmieniające rozporządzenie w sprawie standardów kształcenia dla kierunków studiów: lekarskiego,  lekarsko-dentystycznego, farmacji, pielęgniarstwa i położnictwa </a:t>
          </a:r>
        </a:p>
        <a:p>
          <a:pPr algn="ctr"/>
          <a:endParaRPr lang="en-US" sz="1050"/>
        </a:p>
      </xdr:txBody>
    </xdr:sp>
    <xdr:clientData/>
  </xdr:oneCellAnchor>
  <xdr:twoCellAnchor>
    <xdr:from>
      <xdr:col>25</xdr:col>
      <xdr:colOff>119062</xdr:colOff>
      <xdr:row>0</xdr:row>
      <xdr:rowOff>59532</xdr:rowOff>
    </xdr:from>
    <xdr:to>
      <xdr:col>29</xdr:col>
      <xdr:colOff>600075</xdr:colOff>
      <xdr:row>0</xdr:row>
      <xdr:rowOff>535782</xdr:rowOff>
    </xdr:to>
    <xdr:sp macro="" textlink="">
      <xdr:nvSpPr>
        <xdr:cNvPr id="14" name="pole tekstowe 13"/>
        <xdr:cNvSpPr txBox="1"/>
      </xdr:nvSpPr>
      <xdr:spPr>
        <a:xfrm>
          <a:off x="14489906" y="59532"/>
          <a:ext cx="2290763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Obowiązuje dla kształcenia</a:t>
          </a:r>
          <a:endParaRPr lang="pl-PL" sz="900">
            <a:effectLst/>
          </a:endParaRPr>
        </a:p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od roku akademickiego 2018/2019</a:t>
          </a:r>
          <a:endParaRPr lang="pl-PL" sz="900">
            <a:effectLst/>
          </a:endParaRPr>
        </a:p>
        <a:p>
          <a:pPr marL="0" indent="0" algn="ctr"/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26</xdr:col>
      <xdr:colOff>18185</xdr:colOff>
      <xdr:row>1</xdr:row>
      <xdr:rowOff>338137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3253025" y="133350"/>
          <a:ext cx="865910" cy="309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52</xdr:row>
      <xdr:rowOff>0</xdr:rowOff>
    </xdr:from>
    <xdr:ext cx="2000251" cy="1202531"/>
    <xdr:sp macro="" textlink="">
      <xdr:nvSpPr>
        <xdr:cNvPr id="7" name="pole tekstowe 6"/>
        <xdr:cNvSpPr txBox="1"/>
      </xdr:nvSpPr>
      <xdr:spPr>
        <a:xfrm>
          <a:off x="464344" y="14978063"/>
          <a:ext cx="2000251" cy="120253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Formy zajęć: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W-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wykład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ćwieczenia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ćwiczenia p[raktyczne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-praktyki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L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laboratoria</a:t>
          </a:r>
        </a:p>
      </xdr:txBody>
    </xdr:sp>
    <xdr:clientData/>
  </xdr:oneCellAnchor>
  <xdr:twoCellAnchor editAs="oneCell">
    <xdr:from>
      <xdr:col>24</xdr:col>
      <xdr:colOff>0</xdr:colOff>
      <xdr:row>0</xdr:row>
      <xdr:rowOff>133350</xdr:rowOff>
    </xdr:from>
    <xdr:to>
      <xdr:col>25</xdr:col>
      <xdr:colOff>211066</xdr:colOff>
      <xdr:row>1</xdr:row>
      <xdr:rowOff>242887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14154150" y="133350"/>
          <a:ext cx="865910" cy="566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222972</xdr:colOff>
      <xdr:row>0</xdr:row>
      <xdr:rowOff>438150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141541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222973</xdr:colOff>
      <xdr:row>0</xdr:row>
      <xdr:rowOff>438150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14154150" y="133350"/>
          <a:ext cx="877817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504825</xdr:colOff>
      <xdr:row>0</xdr:row>
      <xdr:rowOff>0</xdr:rowOff>
    </xdr:from>
    <xdr:to>
      <xdr:col>30</xdr:col>
      <xdr:colOff>381000</xdr:colOff>
      <xdr:row>1</xdr:row>
      <xdr:rowOff>0</xdr:rowOff>
    </xdr:to>
    <xdr:sp macro="" textlink="">
      <xdr:nvSpPr>
        <xdr:cNvPr id="12" name="pole tekstowe 11"/>
        <xdr:cNvSpPr txBox="1"/>
      </xdr:nvSpPr>
      <xdr:spPr>
        <a:xfrm>
          <a:off x="16440150" y="0"/>
          <a:ext cx="304800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Obowiązuje dla kształcenia</a:t>
          </a:r>
          <a:endParaRPr lang="pl-PL" sz="900">
            <a:effectLst/>
          </a:endParaRPr>
        </a:p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od roku akademickiego 2018/2019</a:t>
          </a:r>
          <a:endParaRPr lang="pl-PL" sz="900">
            <a:effectLst/>
          </a:endParaRPr>
        </a:p>
        <a:p>
          <a:pPr marL="0" indent="0" algn="ctr"/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22</xdr:col>
      <xdr:colOff>380999</xdr:colOff>
      <xdr:row>1</xdr:row>
      <xdr:rowOff>130968</xdr:rowOff>
    </xdr:from>
    <xdr:ext cx="4167187" cy="1035845"/>
    <xdr:sp macro="" textlink="">
      <xdr:nvSpPr>
        <xdr:cNvPr id="14" name="pole tekstowe 13"/>
        <xdr:cNvSpPr txBox="1"/>
      </xdr:nvSpPr>
      <xdr:spPr>
        <a:xfrm>
          <a:off x="14358937" y="583406"/>
          <a:ext cx="4167187" cy="103584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9 maja 2012 roku w sprawie standardów kształcenia dla kierunku studiów: lekarskiego, lekarsko-dentystycznego, farmacji, pielęgniarstwa  (Dz. U.2012 poz. 631)</a:t>
          </a: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oraz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17 listopada 2016 r.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zmieniające rozporządzenie w sprawie standardów kształcenia dla kierunków studiów: lekarskiego,  lekarsko-dentystycznego, farmacji, pielęgniarstwa i położnictwa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25</xdr:col>
      <xdr:colOff>382517</xdr:colOff>
      <xdr:row>1</xdr:row>
      <xdr:rowOff>242887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3253025" y="133350"/>
          <a:ext cx="865910" cy="309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257175</xdr:colOff>
      <xdr:row>0</xdr:row>
      <xdr:rowOff>133350</xdr:rowOff>
    </xdr:from>
    <xdr:to>
      <xdr:col>27</xdr:col>
      <xdr:colOff>30091</xdr:colOff>
      <xdr:row>0</xdr:row>
      <xdr:rowOff>438150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54114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51</xdr:row>
      <xdr:rowOff>166687</xdr:rowOff>
    </xdr:from>
    <xdr:ext cx="2000251" cy="1202531"/>
    <xdr:sp macro="" textlink="">
      <xdr:nvSpPr>
        <xdr:cNvPr id="7" name="pole tekstowe 6"/>
        <xdr:cNvSpPr txBox="1"/>
      </xdr:nvSpPr>
      <xdr:spPr>
        <a:xfrm>
          <a:off x="416719" y="17668875"/>
          <a:ext cx="2000251" cy="120253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Formy zajęć: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W-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wykład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ćwieczenia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ćwiczenia praktyczne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-praktyki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L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laboratoria</a:t>
          </a:r>
        </a:p>
      </xdr:txBody>
    </xdr:sp>
    <xdr:clientData/>
  </xdr:oneCellAnchor>
  <xdr:twoCellAnchor editAs="oneCell">
    <xdr:from>
      <xdr:col>24</xdr:col>
      <xdr:colOff>0</xdr:colOff>
      <xdr:row>0</xdr:row>
      <xdr:rowOff>133350</xdr:rowOff>
    </xdr:from>
    <xdr:to>
      <xdr:col>25</xdr:col>
      <xdr:colOff>130104</xdr:colOff>
      <xdr:row>1</xdr:row>
      <xdr:rowOff>252412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15078075" y="133350"/>
          <a:ext cx="865910" cy="66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130104</xdr:colOff>
      <xdr:row>1</xdr:row>
      <xdr:rowOff>157162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14820900" y="133350"/>
          <a:ext cx="868291" cy="566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142010</xdr:colOff>
      <xdr:row>0</xdr:row>
      <xdr:rowOff>438150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14820900" y="133350"/>
          <a:ext cx="880197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142011</xdr:colOff>
      <xdr:row>0</xdr:row>
      <xdr:rowOff>438150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14820900" y="133350"/>
          <a:ext cx="880198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207169</xdr:colOff>
      <xdr:row>1</xdr:row>
      <xdr:rowOff>-1</xdr:rowOff>
    </xdr:from>
    <xdr:to>
      <xdr:col>30</xdr:col>
      <xdr:colOff>0</xdr:colOff>
      <xdr:row>2</xdr:row>
      <xdr:rowOff>0</xdr:rowOff>
    </xdr:to>
    <xdr:sp macro="" textlink="">
      <xdr:nvSpPr>
        <xdr:cNvPr id="13" name="pole tekstowe 12"/>
        <xdr:cNvSpPr txBox="1"/>
      </xdr:nvSpPr>
      <xdr:spPr>
        <a:xfrm>
          <a:off x="15971044" y="547687"/>
          <a:ext cx="3436144" cy="5476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Obowiązuje dla kształcenia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od roku akademickiego 2018/2019</a:t>
          </a:r>
          <a:endParaRPr kumimoji="0" lang="en-US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indent="0" algn="ctr"/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24</xdr:col>
      <xdr:colOff>273844</xdr:colOff>
      <xdr:row>1</xdr:row>
      <xdr:rowOff>452437</xdr:rowOff>
    </xdr:from>
    <xdr:ext cx="4167187" cy="1035845"/>
    <xdr:sp macro="" textlink="">
      <xdr:nvSpPr>
        <xdr:cNvPr id="14" name="pole tekstowe 13"/>
        <xdr:cNvSpPr txBox="1"/>
      </xdr:nvSpPr>
      <xdr:spPr>
        <a:xfrm>
          <a:off x="14930438" y="1000125"/>
          <a:ext cx="4167187" cy="1035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900"/>
            <a:t>Rozporządzenie Ministra Nauki i Szkolnictwa Wyższego z dnia 9 maja 2012 roku w sprawie standardów kształcenia dla kierunku studiów: lekarskiego, lekarsko-dentystycznego, farmacji, pielęgniarstwa  (Dz. U.2012 poz. 631)</a:t>
          </a:r>
          <a:r>
            <a:rPr lang="pl-PL" sz="900" baseline="0"/>
            <a:t> oraz</a:t>
          </a:r>
        </a:p>
        <a:p>
          <a:pPr algn="ctr"/>
          <a:r>
            <a:rPr lang="en-US" sz="900"/>
            <a:t>Rozporządzenie Ministra Nauki i Szkolnictwa Wyższego z dnia 17 listopada 2016 r. </a:t>
          </a:r>
        </a:p>
        <a:p>
          <a:pPr algn="ctr"/>
          <a:r>
            <a:rPr lang="en-US" sz="900"/>
            <a:t>zmieniające rozporządzenie w sprawie standardów kształcenia dla kierunków studiów: lekarskiego,  lekarsko-dentystycznego, farmacji, pielęgniarstwa i położnictwa </a:t>
          </a:r>
        </a:p>
        <a:p>
          <a:pPr algn="ctr"/>
          <a:endParaRPr lang="en-US" sz="105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257175</xdr:colOff>
      <xdr:row>0</xdr:row>
      <xdr:rowOff>133350</xdr:rowOff>
    </xdr:from>
    <xdr:to>
      <xdr:col>27</xdr:col>
      <xdr:colOff>192017</xdr:colOff>
      <xdr:row>0</xdr:row>
      <xdr:rowOff>438150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54114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345281</xdr:colOff>
      <xdr:row>73</xdr:row>
      <xdr:rowOff>214314</xdr:rowOff>
    </xdr:from>
    <xdr:ext cx="2405062" cy="1190624"/>
    <xdr:sp macro="" textlink="">
      <xdr:nvSpPr>
        <xdr:cNvPr id="7" name="pole tekstowe 6"/>
        <xdr:cNvSpPr txBox="1"/>
      </xdr:nvSpPr>
      <xdr:spPr>
        <a:xfrm>
          <a:off x="345281" y="25312689"/>
          <a:ext cx="2405062" cy="1190624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Formy zajęć: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W-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wykład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ćwieczenia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ćwiczenia p[raktyczne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-praktyki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L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laboratoria</a:t>
          </a:r>
        </a:p>
      </xdr:txBody>
    </xdr:sp>
    <xdr:clientData/>
  </xdr:oneCellAnchor>
  <xdr:twoCellAnchor editAs="oneCell">
    <xdr:from>
      <xdr:col>24</xdr:col>
      <xdr:colOff>0</xdr:colOff>
      <xdr:row>0</xdr:row>
      <xdr:rowOff>133350</xdr:rowOff>
    </xdr:from>
    <xdr:to>
      <xdr:col>25</xdr:col>
      <xdr:colOff>132486</xdr:colOff>
      <xdr:row>1</xdr:row>
      <xdr:rowOff>319087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14925675" y="133350"/>
          <a:ext cx="858767" cy="652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25</xdr:col>
      <xdr:colOff>392041</xdr:colOff>
      <xdr:row>0</xdr:row>
      <xdr:rowOff>442913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15659100" y="133350"/>
          <a:ext cx="85876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137248</xdr:colOff>
      <xdr:row>1</xdr:row>
      <xdr:rowOff>328612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14668500" y="133350"/>
          <a:ext cx="863529" cy="66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137248</xdr:colOff>
      <xdr:row>1</xdr:row>
      <xdr:rowOff>233362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14668500" y="133350"/>
          <a:ext cx="863529" cy="566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149154</xdr:colOff>
      <xdr:row>0</xdr:row>
      <xdr:rowOff>442913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14668500" y="133350"/>
          <a:ext cx="87543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149155</xdr:colOff>
      <xdr:row>0</xdr:row>
      <xdr:rowOff>442913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4668500" y="133350"/>
          <a:ext cx="87543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59531</xdr:colOff>
      <xdr:row>0</xdr:row>
      <xdr:rowOff>166687</xdr:rowOff>
    </xdr:from>
    <xdr:to>
      <xdr:col>30</xdr:col>
      <xdr:colOff>59531</xdr:colOff>
      <xdr:row>2</xdr:row>
      <xdr:rowOff>202407</xdr:rowOff>
    </xdr:to>
    <xdr:sp macro="" textlink="">
      <xdr:nvSpPr>
        <xdr:cNvPr id="15" name="pole tekstowe 14"/>
        <xdr:cNvSpPr txBox="1"/>
      </xdr:nvSpPr>
      <xdr:spPr>
        <a:xfrm>
          <a:off x="16609219" y="166687"/>
          <a:ext cx="3345656" cy="8929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Obowiązuje dla kształcenia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od roku akademickiego 2018/2019</a:t>
          </a:r>
          <a:endParaRPr kumimoji="0" lang="en-US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indent="0" algn="ctr"/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23</xdr:col>
      <xdr:colOff>154782</xdr:colOff>
      <xdr:row>1</xdr:row>
      <xdr:rowOff>107156</xdr:rowOff>
    </xdr:from>
    <xdr:ext cx="4381500" cy="1178719"/>
    <xdr:sp macro="" textlink="">
      <xdr:nvSpPr>
        <xdr:cNvPr id="16" name="pole tekstowe 15"/>
        <xdr:cNvSpPr txBox="1"/>
      </xdr:nvSpPr>
      <xdr:spPr>
        <a:xfrm>
          <a:off x="16180595" y="583406"/>
          <a:ext cx="4381500" cy="1178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900"/>
            <a:t>Rozporządzenie Ministra Nauki i Szkolnictwa Wyższego z dnia 9 maja 2012 roku w sprawie standardów kształcenia dla kierunku studiów: lekarskiego, lekarsko-dentystycznego, farmacji, pielęgniarstwa  (Dz. U.2012 poz. 631)</a:t>
          </a:r>
          <a:r>
            <a:rPr lang="pl-PL" sz="900" baseline="0"/>
            <a:t> oraz</a:t>
          </a:r>
        </a:p>
        <a:p>
          <a:pPr algn="ctr"/>
          <a:r>
            <a:rPr lang="en-US" sz="900"/>
            <a:t>Rozporządzenie Ministra Nauki i Szkolnictwa Wyższego z dnia 17 listopada 2016 r. </a:t>
          </a:r>
        </a:p>
        <a:p>
          <a:pPr algn="ctr"/>
          <a:r>
            <a:rPr lang="en-US" sz="900"/>
            <a:t>zmieniające rozporządzenie w sprawie standardów kształcenia dla kierunków studiów: lekarskiego,  lekarsko-dentystycznego, farmacji, pielęgniarstwa i położnictwa </a:t>
          </a:r>
        </a:p>
        <a:p>
          <a:pPr algn="ctr"/>
          <a:endParaRPr lang="en-US" sz="1050"/>
        </a:p>
      </xdr:txBody>
    </xdr:sp>
    <xdr:clientData/>
  </xdr:oneCellAnchor>
  <xdr:oneCellAnchor>
    <xdr:from>
      <xdr:col>0</xdr:col>
      <xdr:colOff>345281</xdr:colOff>
      <xdr:row>73</xdr:row>
      <xdr:rowOff>214314</xdr:rowOff>
    </xdr:from>
    <xdr:ext cx="2405062" cy="1190624"/>
    <xdr:sp macro="" textlink="">
      <xdr:nvSpPr>
        <xdr:cNvPr id="14" name="pole tekstowe 13"/>
        <xdr:cNvSpPr txBox="1"/>
      </xdr:nvSpPr>
      <xdr:spPr>
        <a:xfrm>
          <a:off x="345281" y="26084214"/>
          <a:ext cx="2405062" cy="1190624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Formy zajęć: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W-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wykład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ćwieczenia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ćwiczenia p[raktyczne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-praktyki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L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laboratoria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257175</xdr:colOff>
      <xdr:row>0</xdr:row>
      <xdr:rowOff>133350</xdr:rowOff>
    </xdr:from>
    <xdr:ext cx="865911" cy="1694920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4887575" y="133350"/>
          <a:ext cx="865911" cy="169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257175</xdr:colOff>
      <xdr:row>0</xdr:row>
      <xdr:rowOff>133350</xdr:rowOff>
    </xdr:from>
    <xdr:ext cx="877817" cy="1325033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4887575" y="133350"/>
          <a:ext cx="877817" cy="1325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257175</xdr:colOff>
      <xdr:row>0</xdr:row>
      <xdr:rowOff>133350</xdr:rowOff>
    </xdr:from>
    <xdr:ext cx="877818" cy="1325033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4887575" y="133350"/>
          <a:ext cx="877818" cy="1325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133350</xdr:colOff>
      <xdr:row>1</xdr:row>
      <xdr:rowOff>133350</xdr:rowOff>
    </xdr:from>
    <xdr:ext cx="4114800" cy="1209675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/>
      </xdr:nvSpPr>
      <xdr:spPr>
        <a:xfrm>
          <a:off x="13544550" y="323850"/>
          <a:ext cx="4114800" cy="1209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900"/>
            <a:t>Rozporządzenie Ministra Nauki i Szkolnictwa Wyższego z dnia 9 maja 2012 roku w sprawie standardów kształcenia dla kierunku studiów: lekarskiego, lekarsko-dentystycznego, farmacji, pielęgniarstwa  (Dz. U.2012 poz. 631)</a:t>
          </a:r>
          <a:r>
            <a:rPr lang="pl-PL" sz="900" baseline="0"/>
            <a:t> oraz</a:t>
          </a:r>
        </a:p>
        <a:p>
          <a:pPr algn="ctr"/>
          <a:r>
            <a:rPr lang="en-US" sz="900"/>
            <a:t>Rozporządzenie Ministra Nauki i Szkolnictwa Wyższego z dnia 17 listopada 2016 r. </a:t>
          </a:r>
        </a:p>
        <a:p>
          <a:pPr algn="ctr"/>
          <a:r>
            <a:rPr lang="en-US" sz="900"/>
            <a:t>zmieniające rozporządzenie w sprawie standardów kształcenia dla kierunków studiów: lekarskiego,  lekarsko-dentystycznego, farmacji, pielęgniarstwa i położnictwa </a:t>
          </a:r>
        </a:p>
        <a:p>
          <a:pPr algn="ctr"/>
          <a:endParaRPr lang="en-US" sz="1050"/>
        </a:p>
      </xdr:txBody>
    </xdr:sp>
    <xdr:clientData/>
  </xdr:oneCellAnchor>
  <xdr:twoCellAnchor>
    <xdr:from>
      <xdr:col>26</xdr:col>
      <xdr:colOff>333375</xdr:colOff>
      <xdr:row>0</xdr:row>
      <xdr:rowOff>47625</xdr:rowOff>
    </xdr:from>
    <xdr:to>
      <xdr:col>31</xdr:col>
      <xdr:colOff>5556</xdr:colOff>
      <xdr:row>1</xdr:row>
      <xdr:rowOff>243416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 txBox="1"/>
      </xdr:nvSpPr>
      <xdr:spPr>
        <a:xfrm>
          <a:off x="16182975" y="47625"/>
          <a:ext cx="2720181" cy="329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Obowiązuje dla kształcenia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od roku akademickiego </a:t>
          </a:r>
          <a:r>
            <a:rPr kumimoji="0" lang="pl-PL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2018/2019</a:t>
          </a:r>
          <a:endParaRPr kumimoji="0" lang="en-US" sz="9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indent="0" algn="ctr"/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0</xdr:col>
      <xdr:colOff>0</xdr:colOff>
      <xdr:row>26</xdr:row>
      <xdr:rowOff>42332</xdr:rowOff>
    </xdr:from>
    <xdr:ext cx="2000251" cy="1202531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 txBox="1"/>
      </xdr:nvSpPr>
      <xdr:spPr>
        <a:xfrm>
          <a:off x="0" y="4995332"/>
          <a:ext cx="2000251" cy="120253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Formy zajęć: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W-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wykład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ćwiczenia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ćwiczenia p[raktyczne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-praktyki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L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laboratoria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257175</xdr:colOff>
      <xdr:row>12</xdr:row>
      <xdr:rowOff>133350</xdr:rowOff>
    </xdr:from>
    <xdr:to>
      <xdr:col>45</xdr:col>
      <xdr:colOff>525391</xdr:colOff>
      <xdr:row>14</xdr:row>
      <xdr:rowOff>285750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59067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25</xdr:col>
      <xdr:colOff>525391</xdr:colOff>
      <xdr:row>0</xdr:row>
      <xdr:rowOff>438150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159067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219075</xdr:colOff>
      <xdr:row>1</xdr:row>
      <xdr:rowOff>285751</xdr:rowOff>
    </xdr:from>
    <xdr:to>
      <xdr:col>10</xdr:col>
      <xdr:colOff>431006</xdr:colOff>
      <xdr:row>3</xdr:row>
      <xdr:rowOff>76201</xdr:rowOff>
    </xdr:to>
    <xdr:sp macro="" textlink="">
      <xdr:nvSpPr>
        <xdr:cNvPr id="9" name="pole tekstowe 8"/>
        <xdr:cNvSpPr txBox="1"/>
      </xdr:nvSpPr>
      <xdr:spPr>
        <a:xfrm>
          <a:off x="5857875" y="1133476"/>
          <a:ext cx="2717006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Obowiązuje dla kształcenia</a:t>
          </a:r>
        </a:p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od roku akademickiego 2017/2018</a:t>
          </a: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0</xdr:col>
      <xdr:colOff>0</xdr:colOff>
      <xdr:row>129</xdr:row>
      <xdr:rowOff>0</xdr:rowOff>
    </xdr:from>
    <xdr:ext cx="5915025" cy="942975"/>
    <xdr:sp macro="" textlink="">
      <xdr:nvSpPr>
        <xdr:cNvPr id="13" name="pole tekstowe 12"/>
        <xdr:cNvSpPr txBox="1"/>
      </xdr:nvSpPr>
      <xdr:spPr>
        <a:xfrm>
          <a:off x="0" y="28965525"/>
          <a:ext cx="5915025" cy="9429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9 maja 2012 roku w sprawie standardów kształcenia 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dla kierunku studiów: lekarskiego, lekarsko-dentystycznego, farmacji, pielęgniarstwa  (Dz. U.2012 poz. 631)</a:t>
          </a: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oraz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17 listopada 2016 r.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zmieniające rozporządzenie w sprawie standardów kształcenia dla kierunków studiów: lekarskiego,  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lekarsko-dentystycznego, farmacji, pielęgniarstwa i położnictwa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257175</xdr:colOff>
      <xdr:row>12</xdr:row>
      <xdr:rowOff>133350</xdr:rowOff>
    </xdr:from>
    <xdr:to>
      <xdr:col>45</xdr:col>
      <xdr:colOff>525391</xdr:colOff>
      <xdr:row>15</xdr:row>
      <xdr:rowOff>238125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30594300" y="4200525"/>
          <a:ext cx="877816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25</xdr:col>
      <xdr:colOff>525391</xdr:colOff>
      <xdr:row>2</xdr:row>
      <xdr:rowOff>57150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840230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219075</xdr:colOff>
      <xdr:row>1</xdr:row>
      <xdr:rowOff>285751</xdr:rowOff>
    </xdr:from>
    <xdr:to>
      <xdr:col>10</xdr:col>
      <xdr:colOff>431006</xdr:colOff>
      <xdr:row>3</xdr:row>
      <xdr:rowOff>76201</xdr:rowOff>
    </xdr:to>
    <xdr:sp macro="" textlink="">
      <xdr:nvSpPr>
        <xdr:cNvPr id="4" name="pole tekstowe 3"/>
        <xdr:cNvSpPr txBox="1"/>
      </xdr:nvSpPr>
      <xdr:spPr>
        <a:xfrm>
          <a:off x="6010275" y="1133476"/>
          <a:ext cx="2717006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Obowiązuje dla kształcenia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od roku akademickiego 2018/2019</a:t>
          </a:r>
          <a:endParaRPr kumimoji="0" lang="en-US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indent="0" algn="ctr"/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0</xdr:col>
      <xdr:colOff>0</xdr:colOff>
      <xdr:row>130</xdr:row>
      <xdr:rowOff>0</xdr:rowOff>
    </xdr:from>
    <xdr:ext cx="5915025" cy="942975"/>
    <xdr:sp macro="" textlink="">
      <xdr:nvSpPr>
        <xdr:cNvPr id="5" name="pole tekstowe 4"/>
        <xdr:cNvSpPr txBox="1"/>
      </xdr:nvSpPr>
      <xdr:spPr>
        <a:xfrm>
          <a:off x="0" y="28965525"/>
          <a:ext cx="5915025" cy="9429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9 maja 2012 roku w sprawie standardów kształcenia 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dla kierunku studiów: lekarskiego, lekarsko-dentystycznego, farmacji, pielęgniarstwa  (Dz. U.2012 poz. 631)</a:t>
          </a: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oraz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17 listopada 2016 r.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zmieniające rozporządzenie w sprawie standardów kształcenia dla kierunków studiów: lekarskiego,  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lekarsko-dentystycznego, farmacji, pielęgniarstwa i położnictwa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93133</xdr:colOff>
      <xdr:row>0</xdr:row>
      <xdr:rowOff>112184</xdr:rowOff>
    </xdr:from>
    <xdr:ext cx="6299200" cy="609013"/>
    <xdr:sp macro="" textlink="">
      <xdr:nvSpPr>
        <xdr:cNvPr id="2" name="pole tekstowe 1"/>
        <xdr:cNvSpPr txBox="1"/>
      </xdr:nvSpPr>
      <xdr:spPr>
        <a:xfrm>
          <a:off x="93133" y="112184"/>
          <a:ext cx="629920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 b="1"/>
            <a:t>Załacznik do</a:t>
          </a:r>
          <a:r>
            <a:rPr lang="pl-PL" sz="1100" b="1" baseline="0"/>
            <a:t> </a:t>
          </a:r>
          <a:r>
            <a:rPr lang="pl-PL" sz="1100" b="1"/>
            <a:t>PLANU STUDIÓW STACJONARNYCH I  NIESTACJONARNYCH JEDNOLITYCH MAGISTERSKICH</a:t>
          </a:r>
        </a:p>
        <a:p>
          <a:r>
            <a:rPr lang="pl-PL" sz="1100" b="1"/>
            <a:t>KIERUNEK LEKARSKI</a:t>
          </a:r>
        </a:p>
        <a:p>
          <a:r>
            <a:rPr lang="pl-PL" sz="1100" b="1"/>
            <a:t>kształcenie</a:t>
          </a:r>
          <a:r>
            <a:rPr lang="pl-PL" sz="1100" b="1" baseline="0"/>
            <a:t> od roku akademickiego 2018/2019</a:t>
          </a:r>
          <a:endParaRPr lang="en-US" sz="1100" b="1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257175</xdr:colOff>
      <xdr:row>23</xdr:row>
      <xdr:rowOff>133350</xdr:rowOff>
    </xdr:from>
    <xdr:to>
      <xdr:col>45</xdr:col>
      <xdr:colOff>525391</xdr:colOff>
      <xdr:row>27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28822650" y="4200525"/>
          <a:ext cx="877816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25</xdr:col>
      <xdr:colOff>525391</xdr:colOff>
      <xdr:row>2</xdr:row>
      <xdr:rowOff>57150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66306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219075</xdr:colOff>
      <xdr:row>1</xdr:row>
      <xdr:rowOff>285751</xdr:rowOff>
    </xdr:from>
    <xdr:to>
      <xdr:col>10</xdr:col>
      <xdr:colOff>431006</xdr:colOff>
      <xdr:row>3</xdr:row>
      <xdr:rowOff>76201</xdr:rowOff>
    </xdr:to>
    <xdr:sp macro="" textlink="">
      <xdr:nvSpPr>
        <xdr:cNvPr id="4" name="pole tekstowe 3"/>
        <xdr:cNvSpPr txBox="1"/>
      </xdr:nvSpPr>
      <xdr:spPr>
        <a:xfrm>
          <a:off x="5705475" y="1133476"/>
          <a:ext cx="2717006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Obowiązuje dla kształcenia</a:t>
          </a:r>
        </a:p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od roku akademickiego 2017/2018</a:t>
          </a: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0</xdr:col>
      <xdr:colOff>0</xdr:colOff>
      <xdr:row>251</xdr:row>
      <xdr:rowOff>0</xdr:rowOff>
    </xdr:from>
    <xdr:ext cx="5915025" cy="942975"/>
    <xdr:sp macro="" textlink="">
      <xdr:nvSpPr>
        <xdr:cNvPr id="5" name="pole tekstowe 4"/>
        <xdr:cNvSpPr txBox="1"/>
      </xdr:nvSpPr>
      <xdr:spPr>
        <a:xfrm>
          <a:off x="0" y="28965525"/>
          <a:ext cx="5915025" cy="9429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9 maja 2012 roku w sprawie standardów kształcenia 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dla kierunku studiów: lekarskiego, lekarsko-dentystycznego, farmacji, pielęgniarstwa  (Dz. U.2012 poz. 631)</a:t>
          </a: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oraz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17 listopada 2016 r.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zmieniające rozporządzenie w sprawie standardów kształcenia dla kierunków studiów: lekarskiego,  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lekarsko-dentystycznego, farmacji, pielęgniarstwa i położnictwa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93133</xdr:colOff>
      <xdr:row>0</xdr:row>
      <xdr:rowOff>112184</xdr:rowOff>
    </xdr:from>
    <xdr:ext cx="6299200" cy="609013"/>
    <xdr:sp macro="" textlink="">
      <xdr:nvSpPr>
        <xdr:cNvPr id="3" name="pole tekstowe 2"/>
        <xdr:cNvSpPr txBox="1"/>
      </xdr:nvSpPr>
      <xdr:spPr>
        <a:xfrm>
          <a:off x="93133" y="112184"/>
          <a:ext cx="629920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 b="1"/>
            <a:t>Załacznik do</a:t>
          </a:r>
          <a:r>
            <a:rPr lang="pl-PL" sz="1100" b="1" baseline="0"/>
            <a:t> </a:t>
          </a:r>
          <a:r>
            <a:rPr lang="pl-PL" sz="1100" b="1"/>
            <a:t>PLANU STUDIÓW NIESTACJONARNYCH JEDNOLITYCH MAGISTERSKICH</a:t>
          </a:r>
        </a:p>
        <a:p>
          <a:r>
            <a:rPr lang="pl-PL" sz="1100" b="1"/>
            <a:t>KIERUNKE LEKARSKI</a:t>
          </a:r>
        </a:p>
        <a:p>
          <a:r>
            <a:rPr lang="pl-PL" sz="1100" b="1"/>
            <a:t>kształcenie</a:t>
          </a:r>
          <a:r>
            <a:rPr lang="pl-PL" sz="1100" b="1" baseline="0"/>
            <a:t> od roku akademickiego 2017/2018</a:t>
          </a:r>
          <a:endParaRPr lang="en-US" sz="11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rac/Documents/Rok%20akademicki%202017_2018/Plan%20studi&#243;w%20I%20rok/na%20lata%20plan%20studi&#243;w%20lekarski%202017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pio/Downloads/nab&#243;r_2018_2019%20(14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rac/Documents/Rok%20akademicki%202017_2018/Plan%20studi&#243;w%20I%20rok/nowy%20Plan%20studi&#243;w%20kierunek%20lekarski%202017_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pio/Desktop/Plany%20studi&#243;w%2021_22,%20Programy%20studi&#243;w/Plany%20studi&#243;w%202021-22/2022-23/V%20r.%20plan%20studi&#243;w%20og&#243;lnoakademicki%2018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rok"/>
      <sheetName val="II rok"/>
      <sheetName val="III rok"/>
      <sheetName val="IV rok"/>
      <sheetName val="V rok"/>
      <sheetName val="VI rok"/>
      <sheetName val="fakultety"/>
      <sheetName val="Arkusz1"/>
      <sheetName val="Arkusz2"/>
      <sheetName val="Arkusz3"/>
    </sheetNames>
    <sheetDataSet>
      <sheetData sheetId="0"/>
      <sheetData sheetId="1">
        <row r="51">
          <cell r="B51" t="str">
            <v>Molekularne podstawy działania narządów zmysłów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rok"/>
      <sheetName val="II rok"/>
      <sheetName val="III rok"/>
      <sheetName val="IV rok"/>
      <sheetName val="V rok"/>
      <sheetName val="VI rok"/>
      <sheetName val="RAZEM"/>
      <sheetName val=" razem plan"/>
      <sheetName val="FAKULTETY "/>
      <sheetName val="KRAUM"/>
      <sheetName val="FAKULTETY"/>
    </sheetNames>
    <sheetDataSet>
      <sheetData sheetId="0"/>
      <sheetData sheetId="1"/>
      <sheetData sheetId="2"/>
      <sheetData sheetId="3"/>
      <sheetData sheetId="4"/>
      <sheetData sheetId="5"/>
      <sheetData sheetId="6">
        <row r="71">
          <cell r="C71" t="str">
            <v>0912-7LEK-C8,1-C</v>
          </cell>
        </row>
        <row r="72">
          <cell r="C72" t="str">
            <v>0912-7LEK-C8,2-P</v>
          </cell>
        </row>
        <row r="73">
          <cell r="C73" t="str">
            <v>0912-7LEK-C8,3-C</v>
          </cell>
        </row>
        <row r="74">
          <cell r="C74" t="str">
            <v>0912-7LEK-C8,4-G</v>
          </cell>
        </row>
        <row r="75">
          <cell r="C75" t="str">
            <v>0912-7LEK-C8,5-P</v>
          </cell>
        </row>
        <row r="76">
          <cell r="C76" t="str">
            <v>0912-7LEK-C8,6-MR</v>
          </cell>
        </row>
        <row r="77">
          <cell r="C77" t="str">
            <v>0912-7LEK-C8,7-M</v>
          </cell>
        </row>
        <row r="78">
          <cell r="C78" t="str">
            <v>0912-7LEK-C8,8-S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rok"/>
      <sheetName val="II rok"/>
      <sheetName val="III rok"/>
      <sheetName val="IV rok"/>
      <sheetName val="V rok"/>
      <sheetName val="VI rok"/>
      <sheetName val="RAZEM"/>
      <sheetName val="Arkusz1"/>
      <sheetName val="FAKULTETY"/>
      <sheetName val="FAKULTETY (2)"/>
    </sheetNames>
    <sheetDataSet>
      <sheetData sheetId="0">
        <row r="46">
          <cell r="A46" t="str">
            <v>* Zajęcia fakultatywne (student w każdym semestrze wybiera 2 z 3)</v>
          </cell>
        </row>
        <row r="49">
          <cell r="B49" t="str">
            <v>Aktywne składniki materii żywej</v>
          </cell>
          <cell r="C49" t="str">
            <v>0912-7LEK-F-3-ASMŻ</v>
          </cell>
          <cell r="E49">
            <v>1</v>
          </cell>
          <cell r="G49">
            <v>15</v>
          </cell>
          <cell r="H49">
            <v>10</v>
          </cell>
          <cell r="O49">
            <v>1</v>
          </cell>
          <cell r="Y49">
            <v>15</v>
          </cell>
          <cell r="Z49">
            <v>15</v>
          </cell>
          <cell r="AD49">
            <v>25</v>
          </cell>
          <cell r="AE49">
            <v>1</v>
          </cell>
        </row>
        <row r="50">
          <cell r="B50" t="str">
            <v>Struktury ciała ludzkiego w badaniach obrazowych</v>
          </cell>
          <cell r="E50">
            <v>2</v>
          </cell>
          <cell r="P50">
            <v>15</v>
          </cell>
          <cell r="Q50">
            <v>10</v>
          </cell>
          <cell r="X50">
            <v>1</v>
          </cell>
          <cell r="Y50">
            <v>15</v>
          </cell>
          <cell r="Z50">
            <v>15</v>
          </cell>
          <cell r="AD50">
            <v>25</v>
          </cell>
          <cell r="AE50">
            <v>1</v>
          </cell>
        </row>
        <row r="51">
          <cell r="B51" t="str">
            <v>Strukturalne podstawy interwencji sercowo-naczyniowych</v>
          </cell>
          <cell r="E51">
            <v>2</v>
          </cell>
          <cell r="P51">
            <v>15</v>
          </cell>
          <cell r="Q51">
            <v>10</v>
          </cell>
          <cell r="X51">
            <v>1</v>
          </cell>
          <cell r="Y51">
            <v>15</v>
          </cell>
          <cell r="Z51">
            <v>15</v>
          </cell>
          <cell r="AD51">
            <v>25</v>
          </cell>
          <cell r="AE51">
            <v>1</v>
          </cell>
        </row>
        <row r="52">
          <cell r="B52" t="str">
            <v>Nowoczesne techniki mikroskopowe w medycynie</v>
          </cell>
          <cell r="E52">
            <v>2</v>
          </cell>
          <cell r="P52">
            <v>15</v>
          </cell>
          <cell r="Q52">
            <v>10</v>
          </cell>
          <cell r="X52">
            <v>1</v>
          </cell>
          <cell r="Y52">
            <v>15</v>
          </cell>
          <cell r="Z52">
            <v>15</v>
          </cell>
          <cell r="AD52">
            <v>25</v>
          </cell>
          <cell r="AE52">
            <v>1</v>
          </cell>
        </row>
      </sheetData>
      <sheetData sheetId="1">
        <row r="46">
          <cell r="A46" t="str">
            <v>* Zajęcia fakultatywne (student wybiera w 3 semestrze 3 z 5; w 4 semestrze 3 z 6)</v>
          </cell>
        </row>
        <row r="48">
          <cell r="B48" t="str">
            <v>Praktyka medyczna oparta na dowodach naukowych (EBM)</v>
          </cell>
          <cell r="E48">
            <v>3</v>
          </cell>
          <cell r="G48">
            <v>15</v>
          </cell>
          <cell r="H48">
            <v>10</v>
          </cell>
          <cell r="O48">
            <v>1</v>
          </cell>
          <cell r="Y48">
            <v>15</v>
          </cell>
          <cell r="Z48">
            <v>15</v>
          </cell>
          <cell r="AD48">
            <v>25</v>
          </cell>
          <cell r="AE48">
            <v>1</v>
          </cell>
        </row>
        <row r="49">
          <cell r="B49" t="str">
            <v>Żywność modyfikowana genetycznie</v>
          </cell>
          <cell r="E49">
            <v>3</v>
          </cell>
          <cell r="G49">
            <v>15</v>
          </cell>
          <cell r="H49">
            <v>10</v>
          </cell>
          <cell r="O49">
            <v>1</v>
          </cell>
          <cell r="Y49">
            <v>15</v>
          </cell>
          <cell r="Z49">
            <v>15</v>
          </cell>
          <cell r="AD49">
            <v>25</v>
          </cell>
          <cell r="AE49">
            <v>1</v>
          </cell>
        </row>
        <row r="51">
          <cell r="B51" t="str">
            <v>Molekularne podstawy działania narządów zmysłów</v>
          </cell>
          <cell r="E51">
            <v>3</v>
          </cell>
          <cell r="G51">
            <v>15</v>
          </cell>
          <cell r="H51">
            <v>10</v>
          </cell>
          <cell r="O51">
            <v>1</v>
          </cell>
          <cell r="Y51">
            <v>15</v>
          </cell>
          <cell r="Z51">
            <v>15</v>
          </cell>
          <cell r="AD51">
            <v>25</v>
          </cell>
          <cell r="AE51">
            <v>1</v>
          </cell>
        </row>
        <row r="52">
          <cell r="B52" t="str">
            <v xml:space="preserve">Racjonalna antybiotykoterapia </v>
          </cell>
          <cell r="E52">
            <v>3</v>
          </cell>
          <cell r="G52">
            <v>15</v>
          </cell>
          <cell r="H52">
            <v>10</v>
          </cell>
          <cell r="O52">
            <v>1</v>
          </cell>
          <cell r="Y52">
            <v>15</v>
          </cell>
          <cell r="Z52">
            <v>15</v>
          </cell>
          <cell r="AD52">
            <v>25</v>
          </cell>
          <cell r="AE52">
            <v>1</v>
          </cell>
        </row>
        <row r="53">
          <cell r="B53" t="str">
            <v xml:space="preserve">Inżynieria genetyczna </v>
          </cell>
          <cell r="E53">
            <v>4</v>
          </cell>
          <cell r="X53">
            <v>1</v>
          </cell>
          <cell r="Y53">
            <v>15</v>
          </cell>
          <cell r="AD53">
            <v>25</v>
          </cell>
          <cell r="AE53">
            <v>1</v>
          </cell>
        </row>
        <row r="55">
          <cell r="B55" t="str">
            <v>Elektrofizjologia</v>
          </cell>
          <cell r="E55">
            <v>4</v>
          </cell>
          <cell r="P55">
            <v>15</v>
          </cell>
          <cell r="Q55">
            <v>10</v>
          </cell>
          <cell r="X55">
            <v>1</v>
          </cell>
          <cell r="Y55">
            <v>15</v>
          </cell>
          <cell r="Z55">
            <v>15</v>
          </cell>
          <cell r="AD55">
            <v>25</v>
          </cell>
          <cell r="AE55">
            <v>1</v>
          </cell>
        </row>
        <row r="56">
          <cell r="B56" t="str">
            <v>Aparatura medyczna</v>
          </cell>
          <cell r="E56">
            <v>4</v>
          </cell>
          <cell r="P56">
            <v>15</v>
          </cell>
          <cell r="Q56">
            <v>10</v>
          </cell>
          <cell r="X56">
            <v>1</v>
          </cell>
          <cell r="Y56">
            <v>15</v>
          </cell>
          <cell r="Z56">
            <v>15</v>
          </cell>
          <cell r="AD56">
            <v>25</v>
          </cell>
          <cell r="AE56">
            <v>1</v>
          </cell>
        </row>
        <row r="57">
          <cell r="B57" t="str">
            <v>Immunologia onkologiczna</v>
          </cell>
          <cell r="E57">
            <v>4</v>
          </cell>
          <cell r="P57">
            <v>15</v>
          </cell>
          <cell r="Q57">
            <v>10</v>
          </cell>
          <cell r="X57">
            <v>1</v>
          </cell>
          <cell r="Y57">
            <v>15</v>
          </cell>
          <cell r="Z57">
            <v>15</v>
          </cell>
          <cell r="AD57">
            <v>25</v>
          </cell>
          <cell r="AE57">
            <v>1</v>
          </cell>
        </row>
        <row r="58">
          <cell r="P58">
            <v>15</v>
          </cell>
          <cell r="Q58">
            <v>10</v>
          </cell>
          <cell r="X58">
            <v>1</v>
          </cell>
          <cell r="Y58">
            <v>15</v>
          </cell>
          <cell r="Z58">
            <v>15</v>
          </cell>
          <cell r="AD58">
            <v>25</v>
          </cell>
          <cell r="AE58">
            <v>1</v>
          </cell>
        </row>
      </sheetData>
      <sheetData sheetId="2">
        <row r="43">
          <cell r="B43" t="str">
            <v>Patofizjologia nerek</v>
          </cell>
          <cell r="E43">
            <v>5</v>
          </cell>
          <cell r="G43">
            <v>15</v>
          </cell>
          <cell r="H43">
            <v>10</v>
          </cell>
          <cell r="O43">
            <v>1</v>
          </cell>
          <cell r="Y43">
            <v>15</v>
          </cell>
          <cell r="Z43">
            <v>15</v>
          </cell>
          <cell r="AD43">
            <v>25</v>
          </cell>
          <cell r="AE43">
            <v>1</v>
          </cell>
        </row>
        <row r="44">
          <cell r="B44" t="str">
            <v xml:space="preserve">Patofizjologia trzustki </v>
          </cell>
          <cell r="E44">
            <v>5</v>
          </cell>
          <cell r="G44">
            <v>15</v>
          </cell>
          <cell r="H44">
            <v>10</v>
          </cell>
          <cell r="O44">
            <v>1</v>
          </cell>
          <cell r="Y44">
            <v>15</v>
          </cell>
          <cell r="Z44">
            <v>15</v>
          </cell>
          <cell r="AD44">
            <v>25</v>
          </cell>
          <cell r="AE44">
            <v>1</v>
          </cell>
        </row>
        <row r="46">
          <cell r="B46" t="str">
            <v>Interwencja kryzysowa
 (przedmiot realizowany w formie ćwiczeń)</v>
          </cell>
          <cell r="E46">
            <v>5</v>
          </cell>
          <cell r="I46">
            <v>15</v>
          </cell>
          <cell r="J46">
            <v>10</v>
          </cell>
          <cell r="O46">
            <v>1</v>
          </cell>
          <cell r="Y46">
            <v>15</v>
          </cell>
          <cell r="Z46">
            <v>0</v>
          </cell>
          <cell r="AA46">
            <v>15</v>
          </cell>
          <cell r="AD46">
            <v>25</v>
          </cell>
          <cell r="AE46">
            <v>1</v>
          </cell>
        </row>
        <row r="47">
          <cell r="B47" t="str">
            <v>Język migowy 
 (przedmiot realizowany w formie ćwiczeń)</v>
          </cell>
          <cell r="E47">
            <v>5</v>
          </cell>
          <cell r="I47">
            <v>15</v>
          </cell>
          <cell r="J47">
            <v>10</v>
          </cell>
          <cell r="O47">
            <v>1</v>
          </cell>
          <cell r="Y47">
            <v>15</v>
          </cell>
          <cell r="Z47">
            <v>0</v>
          </cell>
          <cell r="AA47">
            <v>15</v>
          </cell>
          <cell r="AD47">
            <v>25</v>
          </cell>
          <cell r="AE47">
            <v>1</v>
          </cell>
        </row>
        <row r="48">
          <cell r="B48" t="str">
            <v>Patomorfologia zmian zapalnych o różnej etiologii</v>
          </cell>
          <cell r="E48">
            <v>6</v>
          </cell>
          <cell r="O48">
            <v>0</v>
          </cell>
          <cell r="P48">
            <v>15</v>
          </cell>
          <cell r="Q48">
            <v>10</v>
          </cell>
          <cell r="X48">
            <v>1</v>
          </cell>
          <cell r="Y48">
            <v>15</v>
          </cell>
          <cell r="Z48">
            <v>15</v>
          </cell>
          <cell r="AD48">
            <v>25</v>
          </cell>
          <cell r="AE48">
            <v>1</v>
          </cell>
        </row>
        <row r="49">
          <cell r="B49" t="str">
            <v>Specyfika narządowa raportów patomorfologicznych nowotworów</v>
          </cell>
          <cell r="E49">
            <v>6</v>
          </cell>
          <cell r="O49">
            <v>0</v>
          </cell>
          <cell r="P49">
            <v>15</v>
          </cell>
          <cell r="Q49">
            <v>10</v>
          </cell>
          <cell r="X49">
            <v>1</v>
          </cell>
          <cell r="Y49">
            <v>15</v>
          </cell>
          <cell r="Z49">
            <v>15</v>
          </cell>
          <cell r="AD49">
            <v>25</v>
          </cell>
          <cell r="AE49">
            <v>1</v>
          </cell>
        </row>
        <row r="50">
          <cell r="B50" t="str">
            <v>Patofizjologia układu endokrynnego</v>
          </cell>
          <cell r="E50">
            <v>6</v>
          </cell>
          <cell r="O50">
            <v>0</v>
          </cell>
          <cell r="P50">
            <v>15</v>
          </cell>
          <cell r="Q50">
            <v>10</v>
          </cell>
          <cell r="X50">
            <v>1</v>
          </cell>
          <cell r="Y50">
            <v>15</v>
          </cell>
          <cell r="Z50">
            <v>15</v>
          </cell>
          <cell r="AD50">
            <v>25</v>
          </cell>
          <cell r="AE50">
            <v>1</v>
          </cell>
        </row>
      </sheetData>
      <sheetData sheetId="3">
        <row r="43">
          <cell r="B43" t="str">
            <v>Dermatologia pediatryczna</v>
          </cell>
          <cell r="E43">
            <v>7</v>
          </cell>
          <cell r="G43">
            <v>15</v>
          </cell>
          <cell r="H43">
            <v>10</v>
          </cell>
          <cell r="O43">
            <v>1</v>
          </cell>
          <cell r="Y43">
            <v>15</v>
          </cell>
          <cell r="Z43">
            <v>15</v>
          </cell>
          <cell r="AD43">
            <v>25</v>
          </cell>
          <cell r="AE43">
            <v>1</v>
          </cell>
        </row>
        <row r="44">
          <cell r="B44" t="str">
            <v>Farmakoekonomika</v>
          </cell>
          <cell r="E44">
            <v>7</v>
          </cell>
          <cell r="G44">
            <v>15</v>
          </cell>
          <cell r="H44">
            <v>10</v>
          </cell>
          <cell r="O44">
            <v>1</v>
          </cell>
          <cell r="Y44">
            <v>15</v>
          </cell>
          <cell r="Z44">
            <v>15</v>
          </cell>
          <cell r="AD44">
            <v>25</v>
          </cell>
          <cell r="AE44">
            <v>1</v>
          </cell>
        </row>
        <row r="45">
          <cell r="B45" t="str">
            <v>Zakażenia wirusami przenoszonymi drogą krwi</v>
          </cell>
          <cell r="E45">
            <v>7</v>
          </cell>
          <cell r="G45">
            <v>15</v>
          </cell>
          <cell r="H45">
            <v>10</v>
          </cell>
          <cell r="O45">
            <v>1</v>
          </cell>
          <cell r="Y45">
            <v>15</v>
          </cell>
          <cell r="Z45">
            <v>15</v>
          </cell>
          <cell r="AD45">
            <v>25</v>
          </cell>
          <cell r="AE45">
            <v>1</v>
          </cell>
        </row>
        <row r="46">
          <cell r="B46" t="str">
            <v>Chirurgia endoskopowa i laparoskopowa</v>
          </cell>
          <cell r="E46">
            <v>8</v>
          </cell>
          <cell r="P46">
            <v>15</v>
          </cell>
          <cell r="Q46">
            <v>10</v>
          </cell>
          <cell r="X46">
            <v>1</v>
          </cell>
          <cell r="Y46">
            <v>15</v>
          </cell>
          <cell r="Z46">
            <v>15</v>
          </cell>
          <cell r="AD46">
            <v>25</v>
          </cell>
          <cell r="AE46">
            <v>1</v>
          </cell>
        </row>
        <row r="47">
          <cell r="B47" t="str">
            <v>Pediatria - kardiologia dziecięca</v>
          </cell>
          <cell r="E47">
            <v>8</v>
          </cell>
          <cell r="P47">
            <v>15</v>
          </cell>
          <cell r="Q47">
            <v>10</v>
          </cell>
          <cell r="X47">
            <v>1</v>
          </cell>
          <cell r="Y47">
            <v>15</v>
          </cell>
          <cell r="Z47">
            <v>15</v>
          </cell>
          <cell r="AD47">
            <v>25</v>
          </cell>
          <cell r="AE47">
            <v>1</v>
          </cell>
        </row>
        <row r="48">
          <cell r="B48" t="str">
            <v>Terapia bólu</v>
          </cell>
          <cell r="E48">
            <v>8</v>
          </cell>
          <cell r="P48">
            <v>15</v>
          </cell>
          <cell r="Q48">
            <v>10</v>
          </cell>
          <cell r="X48">
            <v>1</v>
          </cell>
          <cell r="Y48">
            <v>15</v>
          </cell>
          <cell r="Z48">
            <v>15</v>
          </cell>
          <cell r="AD48">
            <v>25</v>
          </cell>
          <cell r="AE48">
            <v>1</v>
          </cell>
        </row>
        <row r="49">
          <cell r="B49" t="str">
            <v>Choroby płuc</v>
          </cell>
          <cell r="E49">
            <v>8</v>
          </cell>
          <cell r="P49">
            <v>15</v>
          </cell>
          <cell r="Q49">
            <v>10</v>
          </cell>
          <cell r="X49">
            <v>1</v>
          </cell>
          <cell r="Y49">
            <v>15</v>
          </cell>
          <cell r="Z49">
            <v>15</v>
          </cell>
          <cell r="AD49">
            <v>25</v>
          </cell>
          <cell r="AE49">
            <v>1</v>
          </cell>
        </row>
        <row r="50">
          <cell r="B50" t="str">
            <v>Chirurgia naczyniowa</v>
          </cell>
          <cell r="E50">
            <v>8</v>
          </cell>
          <cell r="P50">
            <v>15</v>
          </cell>
          <cell r="Q50">
            <v>10</v>
          </cell>
          <cell r="X50">
            <v>1</v>
          </cell>
          <cell r="Y50">
            <v>15</v>
          </cell>
          <cell r="Z50">
            <v>15</v>
          </cell>
          <cell r="AD50">
            <v>25</v>
          </cell>
          <cell r="AE50">
            <v>1</v>
          </cell>
        </row>
        <row r="51">
          <cell r="B51" t="str">
            <v>Endokrynologia dziecieca</v>
          </cell>
          <cell r="E51">
            <v>8</v>
          </cell>
          <cell r="P51">
            <v>15</v>
          </cell>
          <cell r="Q51">
            <v>10</v>
          </cell>
          <cell r="X51">
            <v>1</v>
          </cell>
          <cell r="Y51">
            <v>15</v>
          </cell>
          <cell r="Z51">
            <v>15</v>
          </cell>
          <cell r="AD51">
            <v>25</v>
          </cell>
          <cell r="AE51">
            <v>1</v>
          </cell>
        </row>
      </sheetData>
      <sheetData sheetId="4">
        <row r="52">
          <cell r="B52" t="str">
            <v>Hipertensjologia</v>
          </cell>
          <cell r="E52">
            <v>9</v>
          </cell>
        </row>
        <row r="53">
          <cell r="B53" t="str">
            <v>Gastroenterologia dziecięca</v>
          </cell>
          <cell r="E53">
            <v>9</v>
          </cell>
          <cell r="Y53">
            <v>35</v>
          </cell>
          <cell r="Z53">
            <v>15</v>
          </cell>
          <cell r="AA53">
            <v>20</v>
          </cell>
          <cell r="AD53">
            <v>50</v>
          </cell>
          <cell r="AE53">
            <v>2</v>
          </cell>
        </row>
        <row r="54">
          <cell r="B54" t="str">
            <v>Alergologia</v>
          </cell>
          <cell r="E54">
            <v>9</v>
          </cell>
          <cell r="Y54">
            <v>35</v>
          </cell>
          <cell r="Z54">
            <v>15</v>
          </cell>
          <cell r="AA54">
            <v>20</v>
          </cell>
          <cell r="AD54">
            <v>50</v>
          </cell>
          <cell r="AE54">
            <v>2</v>
          </cell>
        </row>
        <row r="55">
          <cell r="B55" t="str">
            <v>Kardiologia interwencyjna</v>
          </cell>
          <cell r="E55">
            <v>9</v>
          </cell>
          <cell r="Y55">
            <v>35</v>
          </cell>
          <cell r="Z55">
            <v>15</v>
          </cell>
          <cell r="AA55">
            <v>20</v>
          </cell>
          <cell r="AD55">
            <v>50</v>
          </cell>
          <cell r="AE55">
            <v>2</v>
          </cell>
        </row>
        <row r="56">
          <cell r="B56" t="str">
            <v>Żywienie kliniczne</v>
          </cell>
          <cell r="E56">
            <v>9</v>
          </cell>
          <cell r="Y56">
            <v>35</v>
          </cell>
          <cell r="Z56">
            <v>15</v>
          </cell>
          <cell r="AA56">
            <v>20</v>
          </cell>
          <cell r="AD56">
            <v>50</v>
          </cell>
          <cell r="AE56">
            <v>2</v>
          </cell>
        </row>
        <row r="57">
          <cell r="B57" t="str">
            <v>Anastezjologia i intensywna terapia dziecięca</v>
          </cell>
          <cell r="E57">
            <v>9</v>
          </cell>
          <cell r="Y57">
            <v>35</v>
          </cell>
          <cell r="Z57">
            <v>15</v>
          </cell>
          <cell r="AA57">
            <v>20</v>
          </cell>
          <cell r="AD57">
            <v>50</v>
          </cell>
          <cell r="AE57">
            <v>2</v>
          </cell>
        </row>
        <row r="58">
          <cell r="E58">
            <v>9</v>
          </cell>
          <cell r="Y58">
            <v>35</v>
          </cell>
          <cell r="Z58">
            <v>15</v>
          </cell>
          <cell r="AA58">
            <v>20</v>
          </cell>
          <cell r="AD58">
            <v>50</v>
          </cell>
          <cell r="AE58">
            <v>2</v>
          </cell>
        </row>
        <row r="59">
          <cell r="B59" t="str">
            <v>Elektrokardiografia</v>
          </cell>
          <cell r="E59">
            <v>9</v>
          </cell>
          <cell r="Y59">
            <v>35</v>
          </cell>
          <cell r="Z59">
            <v>15</v>
          </cell>
          <cell r="AA59">
            <v>20</v>
          </cell>
          <cell r="AD59">
            <v>50</v>
          </cell>
          <cell r="AE59">
            <v>2</v>
          </cell>
        </row>
        <row r="60">
          <cell r="B60" t="str">
            <v>Traumatologia dziecięca</v>
          </cell>
          <cell r="E60">
            <v>9</v>
          </cell>
          <cell r="Y60">
            <v>35</v>
          </cell>
          <cell r="Z60">
            <v>15</v>
          </cell>
          <cell r="AA60">
            <v>20</v>
          </cell>
          <cell r="AD60">
            <v>50</v>
          </cell>
          <cell r="AE60">
            <v>2</v>
          </cell>
        </row>
        <row r="61">
          <cell r="B61" t="str">
            <v>Diagnostyka obrazowa w stanach nagłych</v>
          </cell>
          <cell r="E61">
            <v>9</v>
          </cell>
          <cell r="Y61">
            <v>35</v>
          </cell>
          <cell r="Z61">
            <v>15</v>
          </cell>
          <cell r="AA61">
            <v>20</v>
          </cell>
          <cell r="AD61">
            <v>50</v>
          </cell>
          <cell r="AE61">
            <v>2</v>
          </cell>
        </row>
        <row r="62">
          <cell r="B62" t="str">
            <v>Radioterapia</v>
          </cell>
          <cell r="E62">
            <v>9</v>
          </cell>
          <cell r="Y62">
            <v>35</v>
          </cell>
          <cell r="Z62">
            <v>15</v>
          </cell>
          <cell r="AA62">
            <v>20</v>
          </cell>
          <cell r="AD62">
            <v>50</v>
          </cell>
          <cell r="AE62">
            <v>2</v>
          </cell>
        </row>
        <row r="63">
          <cell r="B63" t="str">
            <v>Znaczenie profili genetycznych w leczeniu onkologicznym</v>
          </cell>
          <cell r="E63">
            <v>9</v>
          </cell>
          <cell r="Y63">
            <v>35</v>
          </cell>
          <cell r="Z63">
            <v>15</v>
          </cell>
          <cell r="AA63">
            <v>20</v>
          </cell>
          <cell r="AD63">
            <v>50</v>
          </cell>
          <cell r="AE63">
            <v>2</v>
          </cell>
        </row>
        <row r="64">
          <cell r="B64" t="str">
            <v>Chirurgia bariatryczna</v>
          </cell>
          <cell r="E64">
            <v>9</v>
          </cell>
          <cell r="Y64">
            <v>35</v>
          </cell>
          <cell r="Z64">
            <v>15</v>
          </cell>
          <cell r="AD64">
            <v>50</v>
          </cell>
          <cell r="AE64">
            <v>2</v>
          </cell>
        </row>
        <row r="65">
          <cell r="B65" t="str">
            <v>Psychiatria dorosłych</v>
          </cell>
          <cell r="E65">
            <v>9</v>
          </cell>
          <cell r="Y65">
            <v>15</v>
          </cell>
          <cell r="Z65">
            <v>15</v>
          </cell>
          <cell r="AD65">
            <v>25</v>
          </cell>
          <cell r="AE65">
            <v>1</v>
          </cell>
        </row>
        <row r="66">
          <cell r="E66">
            <v>9</v>
          </cell>
          <cell r="Y66">
            <v>15</v>
          </cell>
          <cell r="Z66">
            <v>15</v>
          </cell>
          <cell r="AD66">
            <v>25</v>
          </cell>
          <cell r="AE66">
            <v>1</v>
          </cell>
        </row>
        <row r="67">
          <cell r="B67" t="str">
            <v>Metodyka pisania prac naukowych</v>
          </cell>
          <cell r="E67">
            <v>9</v>
          </cell>
          <cell r="Y67">
            <v>15</v>
          </cell>
          <cell r="Z67">
            <v>15</v>
          </cell>
          <cell r="AD67">
            <v>25</v>
          </cell>
          <cell r="AE67">
            <v>1</v>
          </cell>
        </row>
        <row r="68">
          <cell r="B68" t="str">
            <v>Choroby metaboliczne</v>
          </cell>
          <cell r="E68">
            <v>10</v>
          </cell>
          <cell r="X68">
            <v>1</v>
          </cell>
          <cell r="AD68">
            <v>25</v>
          </cell>
          <cell r="AE68">
            <v>1</v>
          </cell>
        </row>
        <row r="69">
          <cell r="B69" t="str">
            <v>Farmakogenetyka</v>
          </cell>
          <cell r="E69">
            <v>10</v>
          </cell>
          <cell r="P69">
            <v>15</v>
          </cell>
          <cell r="Q69">
            <v>10</v>
          </cell>
          <cell r="X69">
            <v>1</v>
          </cell>
          <cell r="Y69">
            <v>15</v>
          </cell>
          <cell r="Z69">
            <v>15</v>
          </cell>
          <cell r="AD69">
            <v>25</v>
          </cell>
          <cell r="AE69">
            <v>1</v>
          </cell>
        </row>
        <row r="70">
          <cell r="B70" t="str">
            <v>Psychiatria dzieci i młodzieży</v>
          </cell>
          <cell r="E70">
            <v>10</v>
          </cell>
          <cell r="P70">
            <v>15</v>
          </cell>
          <cell r="Q70">
            <v>10</v>
          </cell>
          <cell r="X70">
            <v>1</v>
          </cell>
          <cell r="Y70">
            <v>15</v>
          </cell>
          <cell r="Z70">
            <v>15</v>
          </cell>
          <cell r="AD70">
            <v>25</v>
          </cell>
          <cell r="AE70">
            <v>1</v>
          </cell>
        </row>
        <row r="71">
          <cell r="B71" t="str">
            <v>Radiologia w pediatrii</v>
          </cell>
          <cell r="E71">
            <v>10</v>
          </cell>
          <cell r="P71">
            <v>15</v>
          </cell>
          <cell r="Q71">
            <v>10</v>
          </cell>
          <cell r="X71">
            <v>1</v>
          </cell>
          <cell r="Y71">
            <v>15</v>
          </cell>
          <cell r="Z71">
            <v>15</v>
          </cell>
          <cell r="AD71">
            <v>25</v>
          </cell>
          <cell r="AE71">
            <v>1</v>
          </cell>
        </row>
        <row r="72">
          <cell r="E72" t="str">
            <v>9-12</v>
          </cell>
          <cell r="G72">
            <v>0</v>
          </cell>
          <cell r="H72">
            <v>0</v>
          </cell>
          <cell r="I72">
            <v>45</v>
          </cell>
          <cell r="J72">
            <v>30</v>
          </cell>
          <cell r="O72">
            <v>3</v>
          </cell>
          <cell r="R72">
            <v>30</v>
          </cell>
          <cell r="S72">
            <v>20</v>
          </cell>
          <cell r="X72">
            <v>2</v>
          </cell>
          <cell r="Y72">
            <v>75</v>
          </cell>
          <cell r="Z72">
            <v>0</v>
          </cell>
          <cell r="AA72">
            <v>75</v>
          </cell>
          <cell r="AD72">
            <v>125</v>
          </cell>
          <cell r="AE72">
            <v>5</v>
          </cell>
        </row>
      </sheetData>
      <sheetData sheetId="5">
        <row r="23">
          <cell r="E23" t="str">
            <v>11-12</v>
          </cell>
          <cell r="G23">
            <v>0</v>
          </cell>
          <cell r="H23">
            <v>0</v>
          </cell>
          <cell r="I23">
            <v>30</v>
          </cell>
          <cell r="J23">
            <v>20</v>
          </cell>
          <cell r="O23">
            <v>2</v>
          </cell>
          <cell r="R23">
            <v>30</v>
          </cell>
          <cell r="S23">
            <v>20</v>
          </cell>
          <cell r="X23">
            <v>2</v>
          </cell>
          <cell r="Y23">
            <v>60</v>
          </cell>
          <cell r="Z23">
            <v>0</v>
          </cell>
          <cell r="AA23">
            <v>60</v>
          </cell>
          <cell r="AD23">
            <v>100</v>
          </cell>
          <cell r="AE23">
            <v>4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rok"/>
      <sheetName val="II rok"/>
      <sheetName val="III rok"/>
      <sheetName val="IV rok"/>
      <sheetName val="V rok"/>
      <sheetName val="VI rok"/>
      <sheetName val="RAZEM"/>
      <sheetName val=" razem plan"/>
      <sheetName val="FAKULTETY "/>
      <sheetName val="KRAUM"/>
      <sheetName val="FAKULTE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7">
          <cell r="C37" t="str">
            <v>0912-7LEK-C5.3-G</v>
          </cell>
        </row>
        <row r="41">
          <cell r="C41" t="str">
            <v>0912-7LEK-C5.7-MR</v>
          </cell>
        </row>
        <row r="51">
          <cell r="C51" t="str">
            <v>0912-7LEK-C6.3-CD</v>
          </cell>
        </row>
        <row r="52">
          <cell r="C52" t="str">
            <v>0912-7LEK-C6.4-OiT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6"/>
  <sheetViews>
    <sheetView zoomScale="70" zoomScaleNormal="70" zoomScaleSheetLayoutView="70" workbookViewId="0">
      <pane xSplit="30" ySplit="9" topLeftCell="AG10" activePane="bottomRight" state="frozen"/>
      <selection pane="topRight" activeCell="AE1" sqref="AE1"/>
      <selection pane="bottomLeft" activeCell="A10" sqref="A10"/>
      <selection pane="bottomRight" activeCell="AK22" sqref="AK22"/>
    </sheetView>
  </sheetViews>
  <sheetFormatPr defaultRowHeight="15"/>
  <cols>
    <col min="1" max="1" width="5.42578125" style="71" customWidth="1"/>
    <col min="2" max="2" width="47.85546875" style="92" customWidth="1"/>
    <col min="3" max="3" width="23.85546875" style="148" customWidth="1"/>
    <col min="4" max="4" width="5.140625" style="39" customWidth="1"/>
    <col min="5" max="5" width="7.7109375" style="39" customWidth="1"/>
    <col min="6" max="6" width="7.28515625" style="39" customWidth="1"/>
    <col min="7" max="7" width="8.7109375" style="39" customWidth="1"/>
    <col min="8" max="24" width="7.5703125" style="39" customWidth="1"/>
    <col min="25" max="25" width="10.5703125" style="39" bestFit="1" customWidth="1"/>
    <col min="26" max="27" width="6.7109375" style="39" customWidth="1"/>
    <col min="28" max="28" width="11.42578125" style="39" customWidth="1"/>
    <col min="29" max="29" width="6.7109375" style="39" customWidth="1"/>
    <col min="30" max="30" width="9.5703125" style="39" customWidth="1"/>
    <col min="31" max="31" width="9.7109375" style="39" customWidth="1"/>
    <col min="32" max="16384" width="9.140625" style="39"/>
  </cols>
  <sheetData>
    <row r="1" spans="1:31" ht="50.25" customHeight="1">
      <c r="A1" s="550" t="s">
        <v>263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51"/>
      <c r="AA1" s="551"/>
      <c r="AB1" s="551"/>
      <c r="AC1" s="551"/>
      <c r="AD1" s="551"/>
      <c r="AE1" s="551"/>
    </row>
    <row r="2" spans="1:31" ht="35.25" customHeight="1">
      <c r="A2" s="568" t="s">
        <v>112</v>
      </c>
      <c r="B2" s="568"/>
      <c r="C2" s="140" t="s">
        <v>113</v>
      </c>
      <c r="E2" s="128"/>
      <c r="F2" s="128"/>
      <c r="G2" s="128"/>
      <c r="H2" s="570" t="s">
        <v>110</v>
      </c>
      <c r="I2" s="570"/>
      <c r="J2" s="570"/>
      <c r="K2" s="570"/>
      <c r="L2" s="570"/>
      <c r="M2" s="570"/>
      <c r="N2" s="570"/>
      <c r="O2" s="570"/>
      <c r="P2" s="570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</row>
    <row r="3" spans="1:31" ht="35.25" customHeight="1">
      <c r="A3" s="569" t="s">
        <v>111</v>
      </c>
      <c r="B3" s="569"/>
      <c r="C3" s="141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</row>
    <row r="4" spans="1:31" ht="28.5" customHeight="1">
      <c r="A4" s="39"/>
      <c r="B4" s="39"/>
      <c r="C4" s="142"/>
      <c r="D4" s="129"/>
      <c r="E4" s="130"/>
      <c r="F4" s="129"/>
      <c r="G4" s="130"/>
      <c r="H4" s="129"/>
      <c r="I4" s="130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</row>
    <row r="5" spans="1:31" ht="14.25">
      <c r="A5" s="552"/>
      <c r="B5" s="553"/>
      <c r="C5" s="553"/>
      <c r="D5" s="553"/>
      <c r="E5" s="553"/>
      <c r="F5" s="554"/>
      <c r="G5" s="555" t="s">
        <v>3</v>
      </c>
      <c r="H5" s="556"/>
      <c r="I5" s="556"/>
      <c r="J5" s="556"/>
      <c r="K5" s="556"/>
      <c r="L5" s="556"/>
      <c r="M5" s="556"/>
      <c r="N5" s="556"/>
      <c r="O5" s="556"/>
      <c r="P5" s="556"/>
      <c r="Q5" s="556"/>
      <c r="R5" s="556"/>
      <c r="S5" s="556"/>
      <c r="T5" s="556"/>
      <c r="U5" s="556"/>
      <c r="V5" s="556"/>
      <c r="W5" s="556"/>
      <c r="X5" s="556"/>
      <c r="Y5" s="556"/>
      <c r="Z5" s="556"/>
      <c r="AA5" s="556"/>
      <c r="AB5" s="556"/>
      <c r="AC5" s="556"/>
      <c r="AD5" s="556"/>
      <c r="AE5" s="557"/>
    </row>
    <row r="6" spans="1:31" ht="15" customHeight="1">
      <c r="A6" s="583" t="s">
        <v>0</v>
      </c>
      <c r="B6" s="578" t="s">
        <v>4</v>
      </c>
      <c r="C6" s="578" t="s">
        <v>1</v>
      </c>
      <c r="D6" s="578" t="s">
        <v>8</v>
      </c>
      <c r="E6" s="578"/>
      <c r="F6" s="578"/>
      <c r="G6" s="576" t="s">
        <v>105</v>
      </c>
      <c r="H6" s="576"/>
      <c r="I6" s="576"/>
      <c r="J6" s="576"/>
      <c r="K6" s="576"/>
      <c r="L6" s="576"/>
      <c r="M6" s="576"/>
      <c r="N6" s="576"/>
      <c r="O6" s="576"/>
      <c r="P6" s="576"/>
      <c r="Q6" s="576"/>
      <c r="R6" s="576"/>
      <c r="S6" s="576"/>
      <c r="T6" s="576"/>
      <c r="U6" s="576"/>
      <c r="V6" s="576"/>
      <c r="W6" s="576"/>
      <c r="X6" s="576"/>
      <c r="Y6" s="561" t="s">
        <v>5</v>
      </c>
      <c r="Z6" s="561" t="s">
        <v>89</v>
      </c>
      <c r="AA6" s="561" t="s">
        <v>88</v>
      </c>
      <c r="AB6" s="561" t="s">
        <v>94</v>
      </c>
      <c r="AC6" s="561" t="s">
        <v>90</v>
      </c>
      <c r="AD6" s="561" t="s">
        <v>14</v>
      </c>
      <c r="AE6" s="561" t="s">
        <v>6</v>
      </c>
    </row>
    <row r="7" spans="1:31" ht="15" customHeight="1">
      <c r="A7" s="583"/>
      <c r="B7" s="578"/>
      <c r="C7" s="578"/>
      <c r="D7" s="578"/>
      <c r="E7" s="578"/>
      <c r="F7" s="578"/>
      <c r="G7" s="564" t="s">
        <v>10</v>
      </c>
      <c r="H7" s="577"/>
      <c r="I7" s="577"/>
      <c r="J7" s="577"/>
      <c r="K7" s="577"/>
      <c r="L7" s="577"/>
      <c r="M7" s="577"/>
      <c r="N7" s="577"/>
      <c r="O7" s="565"/>
      <c r="P7" s="558" t="s">
        <v>11</v>
      </c>
      <c r="Q7" s="559"/>
      <c r="R7" s="559"/>
      <c r="S7" s="559"/>
      <c r="T7" s="559"/>
      <c r="U7" s="559"/>
      <c r="V7" s="559"/>
      <c r="W7" s="559"/>
      <c r="X7" s="560"/>
      <c r="Y7" s="562"/>
      <c r="Z7" s="562"/>
      <c r="AA7" s="562"/>
      <c r="AB7" s="562"/>
      <c r="AC7" s="562"/>
      <c r="AD7" s="562"/>
      <c r="AE7" s="562"/>
    </row>
    <row r="8" spans="1:31" ht="14.25" customHeight="1">
      <c r="A8" s="584"/>
      <c r="B8" s="571"/>
      <c r="C8" s="571"/>
      <c r="D8" s="571" t="s">
        <v>2</v>
      </c>
      <c r="E8" s="571" t="s">
        <v>13</v>
      </c>
      <c r="F8" s="571" t="s">
        <v>12</v>
      </c>
      <c r="G8" s="564" t="s">
        <v>89</v>
      </c>
      <c r="H8" s="565"/>
      <c r="I8" s="564" t="s">
        <v>88</v>
      </c>
      <c r="J8" s="565"/>
      <c r="K8" s="564" t="s">
        <v>94</v>
      </c>
      <c r="L8" s="565"/>
      <c r="M8" s="564" t="s">
        <v>90</v>
      </c>
      <c r="N8" s="565"/>
      <c r="O8" s="566" t="s">
        <v>7</v>
      </c>
      <c r="P8" s="558" t="s">
        <v>89</v>
      </c>
      <c r="Q8" s="560"/>
      <c r="R8" s="558" t="s">
        <v>88</v>
      </c>
      <c r="S8" s="560"/>
      <c r="T8" s="558" t="s">
        <v>94</v>
      </c>
      <c r="U8" s="560"/>
      <c r="V8" s="558" t="s">
        <v>90</v>
      </c>
      <c r="W8" s="560"/>
      <c r="X8" s="574" t="s">
        <v>7</v>
      </c>
      <c r="Y8" s="562"/>
      <c r="Z8" s="562"/>
      <c r="AA8" s="562"/>
      <c r="AB8" s="562"/>
      <c r="AC8" s="562"/>
      <c r="AD8" s="562"/>
      <c r="AE8" s="562"/>
    </row>
    <row r="9" spans="1:31" ht="41.25" customHeight="1" thickBot="1">
      <c r="A9" s="585"/>
      <c r="B9" s="579"/>
      <c r="C9" s="579"/>
      <c r="D9" s="572"/>
      <c r="E9" s="572"/>
      <c r="F9" s="572"/>
      <c r="G9" s="135" t="s">
        <v>15</v>
      </c>
      <c r="H9" s="135" t="s">
        <v>16</v>
      </c>
      <c r="I9" s="135" t="s">
        <v>15</v>
      </c>
      <c r="J9" s="135" t="s">
        <v>16</v>
      </c>
      <c r="K9" s="135" t="s">
        <v>15</v>
      </c>
      <c r="L9" s="135" t="s">
        <v>16</v>
      </c>
      <c r="M9" s="135" t="s">
        <v>15</v>
      </c>
      <c r="N9" s="135" t="s">
        <v>16</v>
      </c>
      <c r="O9" s="567"/>
      <c r="P9" s="133" t="s">
        <v>15</v>
      </c>
      <c r="Q9" s="133" t="s">
        <v>16</v>
      </c>
      <c r="R9" s="133" t="s">
        <v>15</v>
      </c>
      <c r="S9" s="133" t="s">
        <v>16</v>
      </c>
      <c r="T9" s="133" t="s">
        <v>15</v>
      </c>
      <c r="U9" s="133" t="s">
        <v>16</v>
      </c>
      <c r="V9" s="133" t="s">
        <v>15</v>
      </c>
      <c r="W9" s="133" t="s">
        <v>16</v>
      </c>
      <c r="X9" s="575"/>
      <c r="Y9" s="563"/>
      <c r="Z9" s="563"/>
      <c r="AA9" s="563"/>
      <c r="AB9" s="563"/>
      <c r="AC9" s="563"/>
      <c r="AD9" s="563"/>
      <c r="AE9" s="563"/>
    </row>
    <row r="10" spans="1:31" ht="23.25" customHeight="1">
      <c r="A10" s="40" t="s">
        <v>22</v>
      </c>
      <c r="B10" s="41"/>
      <c r="C10" s="143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2"/>
    </row>
    <row r="11" spans="1:31" ht="29.25" customHeight="1">
      <c r="A11" s="43">
        <v>1.1000000000000001</v>
      </c>
      <c r="B11" s="44" t="s">
        <v>18</v>
      </c>
      <c r="C11" s="45" t="str">
        <f>RAZEM!C6</f>
        <v>0912-7LEK-B1.1-A</v>
      </c>
      <c r="D11" s="46">
        <v>2</v>
      </c>
      <c r="E11" s="252" t="s">
        <v>268</v>
      </c>
      <c r="F11" s="47"/>
      <c r="G11" s="136">
        <v>40</v>
      </c>
      <c r="H11" s="161">
        <v>15</v>
      </c>
      <c r="I11" s="136">
        <v>30</v>
      </c>
      <c r="J11" s="161">
        <v>75</v>
      </c>
      <c r="K11" s="136">
        <v>45</v>
      </c>
      <c r="L11" s="136"/>
      <c r="M11" s="136"/>
      <c r="N11" s="136"/>
      <c r="O11" s="137">
        <v>9</v>
      </c>
      <c r="P11" s="134">
        <v>35</v>
      </c>
      <c r="Q11" s="163">
        <v>35</v>
      </c>
      <c r="R11" s="134">
        <v>30</v>
      </c>
      <c r="S11" s="163">
        <v>75</v>
      </c>
      <c r="T11" s="134">
        <v>45</v>
      </c>
      <c r="U11" s="134"/>
      <c r="V11" s="134"/>
      <c r="W11" s="134"/>
      <c r="X11" s="134">
        <v>8</v>
      </c>
      <c r="Y11" s="48">
        <f>SUM(Z11:AC11)</f>
        <v>225</v>
      </c>
      <c r="Z11" s="48">
        <f>G11+P11</f>
        <v>75</v>
      </c>
      <c r="AA11" s="48">
        <f>I11+R11</f>
        <v>60</v>
      </c>
      <c r="AB11" s="48">
        <f>K11+T11</f>
        <v>90</v>
      </c>
      <c r="AC11" s="48">
        <f>M11+V11</f>
        <v>0</v>
      </c>
      <c r="AD11" s="48">
        <f>SUM(G11:N11,P11:W11)</f>
        <v>425</v>
      </c>
      <c r="AE11" s="48">
        <f>O11+X11</f>
        <v>17</v>
      </c>
    </row>
    <row r="12" spans="1:31" ht="29.25" customHeight="1">
      <c r="A12" s="43">
        <v>1.2</v>
      </c>
      <c r="B12" s="44" t="s">
        <v>20</v>
      </c>
      <c r="C12" s="45" t="str">
        <f>RAZEM!C7</f>
        <v>0912-7LEK-B1.2-H</v>
      </c>
      <c r="D12" s="46">
        <v>2</v>
      </c>
      <c r="E12" s="252" t="s">
        <v>268</v>
      </c>
      <c r="F12" s="47"/>
      <c r="G12" s="136">
        <v>25</v>
      </c>
      <c r="H12" s="161">
        <v>35</v>
      </c>
      <c r="I12" s="136">
        <v>20</v>
      </c>
      <c r="J12" s="161">
        <v>50</v>
      </c>
      <c r="K12" s="136">
        <v>20</v>
      </c>
      <c r="L12" s="136"/>
      <c r="M12" s="136"/>
      <c r="N12" s="136"/>
      <c r="O12" s="137">
        <v>6</v>
      </c>
      <c r="P12" s="134">
        <v>10</v>
      </c>
      <c r="Q12" s="163">
        <v>30</v>
      </c>
      <c r="R12" s="134">
        <v>15</v>
      </c>
      <c r="S12" s="163">
        <v>30</v>
      </c>
      <c r="T12" s="134">
        <v>15</v>
      </c>
      <c r="U12" s="134"/>
      <c r="V12" s="134"/>
      <c r="W12" s="134"/>
      <c r="X12" s="134">
        <v>4</v>
      </c>
      <c r="Y12" s="48">
        <f>SUM(Z12:AC12)</f>
        <v>105</v>
      </c>
      <c r="Z12" s="48">
        <f>G12+P12</f>
        <v>35</v>
      </c>
      <c r="AA12" s="48">
        <f>I12+R12</f>
        <v>35</v>
      </c>
      <c r="AB12" s="48">
        <f>K12+T12</f>
        <v>35</v>
      </c>
      <c r="AC12" s="48">
        <f>M12+V12</f>
        <v>0</v>
      </c>
      <c r="AD12" s="48">
        <f>SUM(G12:N12,P12:W12)</f>
        <v>250</v>
      </c>
      <c r="AE12" s="48">
        <f>O12+X12</f>
        <v>10</v>
      </c>
    </row>
    <row r="13" spans="1:31">
      <c r="A13" s="580" t="s">
        <v>9</v>
      </c>
      <c r="B13" s="581"/>
      <c r="C13" s="581"/>
      <c r="D13" s="581"/>
      <c r="E13" s="581"/>
      <c r="F13" s="582"/>
      <c r="G13" s="49">
        <f t="shared" ref="G13:X13" si="0">SUM(G11:G12)</f>
        <v>65</v>
      </c>
      <c r="H13" s="162">
        <f t="shared" si="0"/>
        <v>50</v>
      </c>
      <c r="I13" s="49">
        <f t="shared" si="0"/>
        <v>50</v>
      </c>
      <c r="J13" s="162">
        <f t="shared" si="0"/>
        <v>125</v>
      </c>
      <c r="K13" s="49">
        <f t="shared" si="0"/>
        <v>65</v>
      </c>
      <c r="L13" s="191">
        <f t="shared" si="0"/>
        <v>0</v>
      </c>
      <c r="M13" s="49">
        <f t="shared" si="0"/>
        <v>0</v>
      </c>
      <c r="N13" s="191">
        <f t="shared" si="0"/>
        <v>0</v>
      </c>
      <c r="O13" s="49">
        <f t="shared" si="0"/>
        <v>15</v>
      </c>
      <c r="P13" s="49">
        <f t="shared" si="0"/>
        <v>45</v>
      </c>
      <c r="Q13" s="162">
        <f t="shared" si="0"/>
        <v>65</v>
      </c>
      <c r="R13" s="49">
        <f t="shared" si="0"/>
        <v>45</v>
      </c>
      <c r="S13" s="191">
        <f t="shared" si="0"/>
        <v>105</v>
      </c>
      <c r="T13" s="49">
        <f t="shared" si="0"/>
        <v>60</v>
      </c>
      <c r="U13" s="191">
        <f t="shared" si="0"/>
        <v>0</v>
      </c>
      <c r="V13" s="49">
        <f t="shared" si="0"/>
        <v>0</v>
      </c>
      <c r="W13" s="191">
        <f t="shared" si="0"/>
        <v>0</v>
      </c>
      <c r="X13" s="49">
        <f t="shared" si="0"/>
        <v>12</v>
      </c>
      <c r="Y13" s="49">
        <f t="shared" ref="Y13:AE13" si="1">SUM(Y11:Y12)</f>
        <v>330</v>
      </c>
      <c r="Z13" s="49">
        <f t="shared" si="1"/>
        <v>110</v>
      </c>
      <c r="AA13" s="49">
        <f t="shared" si="1"/>
        <v>95</v>
      </c>
      <c r="AB13" s="49">
        <f t="shared" si="1"/>
        <v>125</v>
      </c>
      <c r="AC13" s="49">
        <f t="shared" si="1"/>
        <v>0</v>
      </c>
      <c r="AD13" s="49">
        <f t="shared" si="1"/>
        <v>675</v>
      </c>
      <c r="AE13" s="49">
        <f t="shared" si="1"/>
        <v>27</v>
      </c>
    </row>
    <row r="14" spans="1:31" ht="22.5" customHeight="1">
      <c r="A14" s="50" t="s">
        <v>23</v>
      </c>
      <c r="B14" s="51"/>
      <c r="C14" s="52"/>
      <c r="D14" s="51"/>
      <c r="E14" s="51"/>
      <c r="F14" s="51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4"/>
    </row>
    <row r="15" spans="1:31" ht="27" customHeight="1">
      <c r="A15" s="55">
        <v>2.2000000000000002</v>
      </c>
      <c r="B15" s="44" t="s">
        <v>36</v>
      </c>
      <c r="C15" s="45" t="str">
        <f>RAZEM!C11</f>
        <v>0912-7LEK-B2.2-PBK</v>
      </c>
      <c r="D15" s="46">
        <v>2</v>
      </c>
      <c r="E15" s="252">
        <v>2</v>
      </c>
      <c r="F15" s="47"/>
      <c r="G15" s="136"/>
      <c r="H15" s="136"/>
      <c r="I15" s="136"/>
      <c r="J15" s="136"/>
      <c r="K15" s="136"/>
      <c r="L15" s="136"/>
      <c r="M15" s="136"/>
      <c r="N15" s="136"/>
      <c r="O15" s="136"/>
      <c r="P15" s="134">
        <v>30</v>
      </c>
      <c r="Q15" s="163">
        <v>40</v>
      </c>
      <c r="R15" s="134"/>
      <c r="S15" s="134"/>
      <c r="T15" s="134"/>
      <c r="U15" s="163"/>
      <c r="V15" s="134">
        <v>30</v>
      </c>
      <c r="W15" s="163"/>
      <c r="X15" s="134">
        <v>4</v>
      </c>
      <c r="Y15" s="48">
        <f>SUM(Z15:AC15)</f>
        <v>60</v>
      </c>
      <c r="Z15" s="48">
        <f>G15+P15</f>
        <v>30</v>
      </c>
      <c r="AA15" s="48">
        <f>I15+R15</f>
        <v>0</v>
      </c>
      <c r="AB15" s="48">
        <f>K15+T15</f>
        <v>0</v>
      </c>
      <c r="AC15" s="48">
        <f>M15+V15</f>
        <v>30</v>
      </c>
      <c r="AD15" s="48">
        <f>SUM(G15:N15,P15:W15)</f>
        <v>100</v>
      </c>
      <c r="AE15" s="48">
        <f>O15+X15</f>
        <v>4</v>
      </c>
    </row>
    <row r="16" spans="1:31" ht="29.25" customHeight="1">
      <c r="A16" s="55">
        <v>2.2999999999999998</v>
      </c>
      <c r="B16" s="44" t="s">
        <v>37</v>
      </c>
      <c r="C16" s="45" t="str">
        <f>RAZEM!C12</f>
        <v>0912-7LEK-B2.3-C</v>
      </c>
      <c r="D16" s="46">
        <v>1</v>
      </c>
      <c r="E16" s="252">
        <v>1</v>
      </c>
      <c r="F16" s="47"/>
      <c r="G16" s="136">
        <v>15</v>
      </c>
      <c r="H16" s="161">
        <v>40</v>
      </c>
      <c r="I16" s="136"/>
      <c r="J16" s="136"/>
      <c r="K16" s="136"/>
      <c r="L16" s="136"/>
      <c r="M16" s="136">
        <v>20</v>
      </c>
      <c r="N16" s="161"/>
      <c r="O16" s="136">
        <v>3</v>
      </c>
      <c r="P16" s="134"/>
      <c r="Q16" s="163"/>
      <c r="R16" s="134"/>
      <c r="S16" s="134"/>
      <c r="T16" s="134"/>
      <c r="U16" s="163"/>
      <c r="V16" s="134"/>
      <c r="W16" s="163"/>
      <c r="X16" s="134"/>
      <c r="Y16" s="48">
        <f>SUM(Z16:AC16)</f>
        <v>35</v>
      </c>
      <c r="Z16" s="48">
        <f>G16+P16</f>
        <v>15</v>
      </c>
      <c r="AA16" s="48">
        <f>I16+R16</f>
        <v>0</v>
      </c>
      <c r="AB16" s="48">
        <f>K16+T16</f>
        <v>0</v>
      </c>
      <c r="AC16" s="48">
        <f>M16+V16</f>
        <v>20</v>
      </c>
      <c r="AD16" s="48">
        <f>SUM(G16:N16,P16:W16)</f>
        <v>75</v>
      </c>
      <c r="AE16" s="48">
        <f>O16+X16</f>
        <v>3</v>
      </c>
    </row>
    <row r="17" spans="1:31" ht="33.75" customHeight="1">
      <c r="A17" s="55">
        <v>2.7</v>
      </c>
      <c r="B17" s="44" t="s">
        <v>93</v>
      </c>
      <c r="C17" s="45" t="str">
        <f>RAZEM!C16</f>
        <v>0912-7LEK-B2.7-BzI</v>
      </c>
      <c r="D17" s="46">
        <v>2</v>
      </c>
      <c r="E17" s="252" t="s">
        <v>268</v>
      </c>
      <c r="F17" s="47"/>
      <c r="G17" s="136">
        <v>15</v>
      </c>
      <c r="H17" s="161">
        <v>10</v>
      </c>
      <c r="I17" s="136">
        <v>25</v>
      </c>
      <c r="J17" s="161">
        <v>15</v>
      </c>
      <c r="K17" s="136"/>
      <c r="L17" s="136"/>
      <c r="M17" s="136"/>
      <c r="N17" s="136"/>
      <c r="O17" s="136">
        <v>3</v>
      </c>
      <c r="P17" s="134">
        <v>15</v>
      </c>
      <c r="Q17" s="163">
        <v>10</v>
      </c>
      <c r="R17" s="134">
        <v>15</v>
      </c>
      <c r="S17" s="163">
        <v>10</v>
      </c>
      <c r="T17" s="134"/>
      <c r="U17" s="163"/>
      <c r="V17" s="134"/>
      <c r="W17" s="163"/>
      <c r="X17" s="134">
        <v>2</v>
      </c>
      <c r="Y17" s="48">
        <f>SUM(Z17:AC17)</f>
        <v>70</v>
      </c>
      <c r="Z17" s="48">
        <f>G17+P17</f>
        <v>30</v>
      </c>
      <c r="AA17" s="48">
        <f>I17+R17</f>
        <v>40</v>
      </c>
      <c r="AB17" s="48">
        <f>K17+T17</f>
        <v>0</v>
      </c>
      <c r="AC17" s="48">
        <f>M17+V17</f>
        <v>0</v>
      </c>
      <c r="AD17" s="48">
        <f>SUM(G17:N17,P17:W17)</f>
        <v>115</v>
      </c>
      <c r="AE17" s="48">
        <f>O17+X17</f>
        <v>5</v>
      </c>
    </row>
    <row r="18" spans="1:31" ht="33.75" customHeight="1">
      <c r="A18" s="55">
        <v>2.8</v>
      </c>
      <c r="B18" s="44" t="s">
        <v>91</v>
      </c>
      <c r="C18" s="45" t="str">
        <f>RAZEM!C17</f>
        <v>0912-7LEK-B2.8-PP</v>
      </c>
      <c r="D18" s="46"/>
      <c r="E18" s="252">
        <v>2</v>
      </c>
      <c r="F18" s="47"/>
      <c r="G18" s="136"/>
      <c r="H18" s="161"/>
      <c r="I18" s="136"/>
      <c r="J18" s="136"/>
      <c r="K18" s="136"/>
      <c r="L18" s="136"/>
      <c r="M18" s="136"/>
      <c r="N18" s="136"/>
      <c r="O18" s="136"/>
      <c r="P18" s="134"/>
      <c r="Q18" s="163"/>
      <c r="R18" s="134">
        <v>15</v>
      </c>
      <c r="S18" s="163">
        <v>10</v>
      </c>
      <c r="T18" s="134">
        <v>20</v>
      </c>
      <c r="U18" s="163">
        <v>5</v>
      </c>
      <c r="V18" s="134"/>
      <c r="W18" s="163"/>
      <c r="X18" s="134">
        <v>2</v>
      </c>
      <c r="Y18" s="48">
        <f>SUM(Z18:AC18)</f>
        <v>35</v>
      </c>
      <c r="Z18" s="48">
        <f>G18+P18</f>
        <v>0</v>
      </c>
      <c r="AA18" s="48">
        <f>I18+R18</f>
        <v>15</v>
      </c>
      <c r="AB18" s="48">
        <f>K18+T18</f>
        <v>20</v>
      </c>
      <c r="AC18" s="48">
        <f>M18+V18</f>
        <v>0</v>
      </c>
      <c r="AD18" s="48">
        <f>SUM(G18:N18,P18:W18)</f>
        <v>50</v>
      </c>
      <c r="AE18" s="48">
        <f>O18+X18</f>
        <v>2</v>
      </c>
    </row>
    <row r="19" spans="1:31" ht="15.75">
      <c r="A19" s="580" t="s">
        <v>9</v>
      </c>
      <c r="B19" s="581"/>
      <c r="C19" s="581"/>
      <c r="D19" s="581"/>
      <c r="E19" s="581"/>
      <c r="F19" s="582"/>
      <c r="G19" s="56">
        <f t="shared" ref="G19:X19" si="2">SUM(G15:G18)</f>
        <v>30</v>
      </c>
      <c r="H19" s="183">
        <f t="shared" si="2"/>
        <v>50</v>
      </c>
      <c r="I19" s="56">
        <f t="shared" si="2"/>
        <v>25</v>
      </c>
      <c r="J19" s="183">
        <f t="shared" si="2"/>
        <v>15</v>
      </c>
      <c r="K19" s="56">
        <f t="shared" si="2"/>
        <v>0</v>
      </c>
      <c r="L19" s="183">
        <f t="shared" si="2"/>
        <v>0</v>
      </c>
      <c r="M19" s="56">
        <f t="shared" si="2"/>
        <v>20</v>
      </c>
      <c r="N19" s="183">
        <f t="shared" si="2"/>
        <v>0</v>
      </c>
      <c r="O19" s="56">
        <f t="shared" si="2"/>
        <v>6</v>
      </c>
      <c r="P19" s="56">
        <f t="shared" si="2"/>
        <v>45</v>
      </c>
      <c r="Q19" s="183">
        <f t="shared" si="2"/>
        <v>50</v>
      </c>
      <c r="R19" s="56">
        <f t="shared" si="2"/>
        <v>30</v>
      </c>
      <c r="S19" s="183">
        <f t="shared" si="2"/>
        <v>20</v>
      </c>
      <c r="T19" s="56">
        <f t="shared" si="2"/>
        <v>20</v>
      </c>
      <c r="U19" s="183">
        <f t="shared" si="2"/>
        <v>5</v>
      </c>
      <c r="V19" s="56">
        <f t="shared" si="2"/>
        <v>30</v>
      </c>
      <c r="W19" s="183">
        <f t="shared" si="2"/>
        <v>0</v>
      </c>
      <c r="X19" s="56">
        <f t="shared" si="2"/>
        <v>8</v>
      </c>
      <c r="Y19" s="56">
        <f t="shared" ref="Y19:AE19" si="3">SUM(Y15:Y18)</f>
        <v>200</v>
      </c>
      <c r="Z19" s="56">
        <f t="shared" si="3"/>
        <v>75</v>
      </c>
      <c r="AA19" s="56">
        <f t="shared" si="3"/>
        <v>55</v>
      </c>
      <c r="AB19" s="56">
        <f t="shared" si="3"/>
        <v>20</v>
      </c>
      <c r="AC19" s="56">
        <f t="shared" si="3"/>
        <v>50</v>
      </c>
      <c r="AD19" s="56">
        <f t="shared" si="3"/>
        <v>340</v>
      </c>
      <c r="AE19" s="56">
        <f t="shared" si="3"/>
        <v>14</v>
      </c>
    </row>
    <row r="20" spans="1:31" ht="19.5" customHeight="1">
      <c r="A20" s="50" t="s">
        <v>34</v>
      </c>
      <c r="B20" s="51"/>
      <c r="C20" s="52"/>
      <c r="D20" s="51"/>
      <c r="E20" s="51"/>
      <c r="F20" s="51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4"/>
    </row>
    <row r="21" spans="1:31" ht="30.75" customHeight="1">
      <c r="A21" s="57">
        <v>4.0999999999999996</v>
      </c>
      <c r="B21" s="44" t="s">
        <v>47</v>
      </c>
      <c r="C21" s="45" t="str">
        <f>RAZEM!C28</f>
        <v>0912-7LEK-B4.1-S</v>
      </c>
      <c r="D21" s="46"/>
      <c r="E21" s="252">
        <v>1</v>
      </c>
      <c r="F21" s="47"/>
      <c r="G21" s="136"/>
      <c r="H21" s="161"/>
      <c r="I21" s="136"/>
      <c r="J21" s="136"/>
      <c r="K21" s="136"/>
      <c r="L21" s="136"/>
      <c r="M21" s="136"/>
      <c r="N21" s="136"/>
      <c r="O21" s="136"/>
      <c r="P21" s="134">
        <v>15</v>
      </c>
      <c r="Q21" s="163">
        <v>10</v>
      </c>
      <c r="R21" s="134"/>
      <c r="S21" s="134"/>
      <c r="T21" s="134"/>
      <c r="U21" s="134"/>
      <c r="V21" s="134"/>
      <c r="W21" s="134"/>
      <c r="X21" s="134">
        <v>1</v>
      </c>
      <c r="Y21" s="48">
        <f t="shared" ref="Y21:Y26" si="4">SUM(Z21:AC21)</f>
        <v>15</v>
      </c>
      <c r="Z21" s="48">
        <f t="shared" ref="Z21:Z26" si="5">G21+P21</f>
        <v>15</v>
      </c>
      <c r="AA21" s="48">
        <f t="shared" ref="AA21:AA26" si="6">I21+R21</f>
        <v>0</v>
      </c>
      <c r="AB21" s="48">
        <f t="shared" ref="AB21:AB26" si="7">K21+T21</f>
        <v>0</v>
      </c>
      <c r="AC21" s="48">
        <f t="shared" ref="AC21:AC26" si="8">M21+V21</f>
        <v>0</v>
      </c>
      <c r="AD21" s="48">
        <f t="shared" ref="AD21:AD26" si="9">SUM(G21:N21,P21:W21)</f>
        <v>25</v>
      </c>
      <c r="AE21" s="48">
        <f t="shared" ref="AE21:AE26" si="10">O21+X21</f>
        <v>1</v>
      </c>
    </row>
    <row r="22" spans="1:31" ht="24.75" customHeight="1">
      <c r="A22" s="43">
        <v>4.2</v>
      </c>
      <c r="B22" s="44" t="s">
        <v>48</v>
      </c>
      <c r="C22" s="45" t="str">
        <f>RAZEM!C29</f>
        <v>0912-7LEK-B4.2-P</v>
      </c>
      <c r="D22" s="46"/>
      <c r="E22" s="252">
        <v>2</v>
      </c>
      <c r="F22" s="47"/>
      <c r="G22" s="136">
        <v>15</v>
      </c>
      <c r="H22" s="161">
        <v>10</v>
      </c>
      <c r="I22" s="136"/>
      <c r="J22" s="136"/>
      <c r="K22" s="136"/>
      <c r="L22" s="136"/>
      <c r="M22" s="136"/>
      <c r="N22" s="136"/>
      <c r="O22" s="136">
        <v>1</v>
      </c>
      <c r="P22" s="134"/>
      <c r="Q22" s="163"/>
      <c r="R22" s="134"/>
      <c r="S22" s="134"/>
      <c r="T22" s="134"/>
      <c r="U22" s="134"/>
      <c r="V22" s="134"/>
      <c r="W22" s="134"/>
      <c r="X22" s="134"/>
      <c r="Y22" s="48">
        <f t="shared" si="4"/>
        <v>15</v>
      </c>
      <c r="Z22" s="48">
        <f t="shared" si="5"/>
        <v>15</v>
      </c>
      <c r="AA22" s="48">
        <f t="shared" si="6"/>
        <v>0</v>
      </c>
      <c r="AB22" s="48">
        <f t="shared" si="7"/>
        <v>0</v>
      </c>
      <c r="AC22" s="48">
        <f t="shared" si="8"/>
        <v>0</v>
      </c>
      <c r="AD22" s="48">
        <f t="shared" si="9"/>
        <v>25</v>
      </c>
      <c r="AE22" s="48">
        <f t="shared" si="10"/>
        <v>1</v>
      </c>
    </row>
    <row r="23" spans="1:31" ht="24.75" customHeight="1">
      <c r="A23" s="57">
        <v>4.3</v>
      </c>
      <c r="B23" s="44" t="s">
        <v>49</v>
      </c>
      <c r="C23" s="45" t="str">
        <f>RAZEM!C30</f>
        <v>0912-7LEK-B4.3-E</v>
      </c>
      <c r="D23" s="46"/>
      <c r="E23" s="252">
        <v>1</v>
      </c>
      <c r="F23" s="47"/>
      <c r="G23" s="136">
        <v>15</v>
      </c>
      <c r="H23" s="161">
        <v>10</v>
      </c>
      <c r="I23" s="136"/>
      <c r="J23" s="136"/>
      <c r="K23" s="136"/>
      <c r="L23" s="136"/>
      <c r="M23" s="136"/>
      <c r="N23" s="136"/>
      <c r="O23" s="136">
        <v>1</v>
      </c>
      <c r="P23" s="134"/>
      <c r="Q23" s="163"/>
      <c r="R23" s="134"/>
      <c r="S23" s="134"/>
      <c r="T23" s="134"/>
      <c r="U23" s="134"/>
      <c r="V23" s="134"/>
      <c r="W23" s="134"/>
      <c r="X23" s="134"/>
      <c r="Y23" s="48">
        <f t="shared" si="4"/>
        <v>15</v>
      </c>
      <c r="Z23" s="48">
        <f t="shared" si="5"/>
        <v>15</v>
      </c>
      <c r="AA23" s="48">
        <f t="shared" si="6"/>
        <v>0</v>
      </c>
      <c r="AB23" s="48">
        <f t="shared" si="7"/>
        <v>0</v>
      </c>
      <c r="AC23" s="48">
        <f t="shared" si="8"/>
        <v>0</v>
      </c>
      <c r="AD23" s="48">
        <f t="shared" si="9"/>
        <v>25</v>
      </c>
      <c r="AE23" s="48">
        <f t="shared" si="10"/>
        <v>1</v>
      </c>
    </row>
    <row r="24" spans="1:31" ht="24.75" customHeight="1">
      <c r="A24" s="43">
        <v>4.4000000000000004</v>
      </c>
      <c r="B24" s="44" t="s">
        <v>92</v>
      </c>
      <c r="C24" s="45" t="str">
        <f>RAZEM!C31</f>
        <v>0912-7LEK-B4.4-E</v>
      </c>
      <c r="D24" s="46"/>
      <c r="E24" s="252">
        <v>1</v>
      </c>
      <c r="F24" s="47"/>
      <c r="G24" s="136">
        <v>15</v>
      </c>
      <c r="H24" s="161">
        <v>10</v>
      </c>
      <c r="I24" s="136"/>
      <c r="J24" s="136"/>
      <c r="K24" s="136"/>
      <c r="L24" s="136"/>
      <c r="M24" s="136"/>
      <c r="N24" s="136"/>
      <c r="O24" s="136">
        <v>1</v>
      </c>
      <c r="P24" s="134"/>
      <c r="Q24" s="163"/>
      <c r="R24" s="134"/>
      <c r="S24" s="134"/>
      <c r="T24" s="134"/>
      <c r="U24" s="134"/>
      <c r="V24" s="134"/>
      <c r="W24" s="134"/>
      <c r="X24" s="134"/>
      <c r="Y24" s="48">
        <f t="shared" si="4"/>
        <v>15</v>
      </c>
      <c r="Z24" s="48">
        <f t="shared" si="5"/>
        <v>15</v>
      </c>
      <c r="AA24" s="48">
        <f t="shared" si="6"/>
        <v>0</v>
      </c>
      <c r="AB24" s="48">
        <f t="shared" si="7"/>
        <v>0</v>
      </c>
      <c r="AC24" s="48">
        <f t="shared" si="8"/>
        <v>0</v>
      </c>
      <c r="AD24" s="48">
        <f t="shared" si="9"/>
        <v>25</v>
      </c>
      <c r="AE24" s="48">
        <f t="shared" si="10"/>
        <v>1</v>
      </c>
    </row>
    <row r="25" spans="1:31" ht="24.75" customHeight="1">
      <c r="A25" s="43">
        <v>4.5</v>
      </c>
      <c r="B25" s="44" t="s">
        <v>50</v>
      </c>
      <c r="C25" s="45" t="str">
        <f>RAZEM!C32</f>
        <v>0912-7LEK-B4.5-H</v>
      </c>
      <c r="D25" s="46"/>
      <c r="E25" s="252" t="s">
        <v>268</v>
      </c>
      <c r="F25" s="47"/>
      <c r="G25" s="136">
        <v>30</v>
      </c>
      <c r="H25" s="161"/>
      <c r="I25" s="136"/>
      <c r="J25" s="136"/>
      <c r="K25" s="136"/>
      <c r="L25" s="136"/>
      <c r="M25" s="136"/>
      <c r="N25" s="136"/>
      <c r="O25" s="136">
        <v>1</v>
      </c>
      <c r="P25" s="134"/>
      <c r="Q25" s="163"/>
      <c r="R25" s="134"/>
      <c r="S25" s="134"/>
      <c r="T25" s="134"/>
      <c r="U25" s="134"/>
      <c r="V25" s="134"/>
      <c r="W25" s="134"/>
      <c r="X25" s="134"/>
      <c r="Y25" s="48">
        <f t="shared" si="4"/>
        <v>30</v>
      </c>
      <c r="Z25" s="48">
        <f t="shared" si="5"/>
        <v>30</v>
      </c>
      <c r="AA25" s="48">
        <f t="shared" si="6"/>
        <v>0</v>
      </c>
      <c r="AB25" s="48">
        <f t="shared" si="7"/>
        <v>0</v>
      </c>
      <c r="AC25" s="48">
        <f t="shared" si="8"/>
        <v>0</v>
      </c>
      <c r="AD25" s="48">
        <f t="shared" si="9"/>
        <v>30</v>
      </c>
      <c r="AE25" s="48">
        <f t="shared" si="10"/>
        <v>1</v>
      </c>
    </row>
    <row r="26" spans="1:31" ht="24" customHeight="1">
      <c r="A26" s="150">
        <v>4.5999999999999996</v>
      </c>
      <c r="B26" s="60" t="s">
        <v>17</v>
      </c>
      <c r="C26" s="45" t="s">
        <v>320</v>
      </c>
      <c r="D26" s="251">
        <v>4</v>
      </c>
      <c r="E26" s="167" t="s">
        <v>239</v>
      </c>
      <c r="F26" s="252"/>
      <c r="G26" s="136"/>
      <c r="H26" s="161"/>
      <c r="I26" s="136">
        <v>30</v>
      </c>
      <c r="J26" s="161">
        <v>15</v>
      </c>
      <c r="K26" s="136"/>
      <c r="L26" s="136"/>
      <c r="M26" s="136"/>
      <c r="N26" s="136"/>
      <c r="O26" s="136">
        <v>1.5</v>
      </c>
      <c r="P26" s="134"/>
      <c r="Q26" s="134"/>
      <c r="R26" s="134">
        <v>30</v>
      </c>
      <c r="S26" s="163">
        <v>15</v>
      </c>
      <c r="T26" s="134"/>
      <c r="U26" s="134"/>
      <c r="V26" s="134"/>
      <c r="W26" s="134"/>
      <c r="X26" s="134">
        <v>1.5</v>
      </c>
      <c r="Y26" s="48">
        <f t="shared" si="4"/>
        <v>60</v>
      </c>
      <c r="Z26" s="48">
        <f t="shared" si="5"/>
        <v>0</v>
      </c>
      <c r="AA26" s="48">
        <f t="shared" si="6"/>
        <v>60</v>
      </c>
      <c r="AB26" s="48">
        <f t="shared" si="7"/>
        <v>0</v>
      </c>
      <c r="AC26" s="48">
        <f t="shared" si="8"/>
        <v>0</v>
      </c>
      <c r="AD26" s="48">
        <f t="shared" si="9"/>
        <v>90</v>
      </c>
      <c r="AE26" s="48">
        <f t="shared" si="10"/>
        <v>3</v>
      </c>
    </row>
    <row r="27" spans="1:31" ht="15.75">
      <c r="A27" s="580" t="s">
        <v>9</v>
      </c>
      <c r="B27" s="581"/>
      <c r="C27" s="581"/>
      <c r="D27" s="581"/>
      <c r="E27" s="581"/>
      <c r="F27" s="582"/>
      <c r="G27" s="56">
        <f t="shared" ref="G27:AE27" si="11">SUM(G21:G26)</f>
        <v>75</v>
      </c>
      <c r="H27" s="183">
        <f t="shared" si="11"/>
        <v>30</v>
      </c>
      <c r="I27" s="56">
        <f t="shared" si="11"/>
        <v>30</v>
      </c>
      <c r="J27" s="183">
        <f t="shared" si="11"/>
        <v>15</v>
      </c>
      <c r="K27" s="56">
        <f t="shared" si="11"/>
        <v>0</v>
      </c>
      <c r="L27" s="183">
        <f t="shared" si="11"/>
        <v>0</v>
      </c>
      <c r="M27" s="56">
        <f t="shared" si="11"/>
        <v>0</v>
      </c>
      <c r="N27" s="183">
        <f t="shared" si="11"/>
        <v>0</v>
      </c>
      <c r="O27" s="56">
        <f t="shared" si="11"/>
        <v>5.5</v>
      </c>
      <c r="P27" s="56">
        <f t="shared" si="11"/>
        <v>15</v>
      </c>
      <c r="Q27" s="183">
        <f t="shared" si="11"/>
        <v>10</v>
      </c>
      <c r="R27" s="56">
        <f t="shared" si="11"/>
        <v>30</v>
      </c>
      <c r="S27" s="183">
        <f t="shared" si="11"/>
        <v>15</v>
      </c>
      <c r="T27" s="56">
        <f t="shared" si="11"/>
        <v>0</v>
      </c>
      <c r="U27" s="183">
        <f t="shared" si="11"/>
        <v>0</v>
      </c>
      <c r="V27" s="56">
        <f t="shared" si="11"/>
        <v>0</v>
      </c>
      <c r="W27" s="183">
        <f t="shared" si="11"/>
        <v>0</v>
      </c>
      <c r="X27" s="56">
        <f t="shared" si="11"/>
        <v>2.5</v>
      </c>
      <c r="Y27" s="56">
        <f t="shared" si="11"/>
        <v>150</v>
      </c>
      <c r="Z27" s="56">
        <f t="shared" si="11"/>
        <v>90</v>
      </c>
      <c r="AA27" s="56">
        <f t="shared" si="11"/>
        <v>60</v>
      </c>
      <c r="AB27" s="56">
        <f t="shared" si="11"/>
        <v>0</v>
      </c>
      <c r="AC27" s="56">
        <f t="shared" si="11"/>
        <v>0</v>
      </c>
      <c r="AD27" s="56">
        <f t="shared" si="11"/>
        <v>220</v>
      </c>
      <c r="AE27" s="56">
        <f t="shared" si="11"/>
        <v>8</v>
      </c>
    </row>
    <row r="28" spans="1:31" ht="20.25" customHeight="1">
      <c r="A28" s="50" t="s">
        <v>29</v>
      </c>
      <c r="B28" s="51"/>
      <c r="C28" s="52"/>
      <c r="D28" s="51"/>
      <c r="E28" s="51"/>
      <c r="F28" s="51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4"/>
    </row>
    <row r="29" spans="1:31" ht="28.5" customHeight="1">
      <c r="A29" s="57">
        <v>9.1</v>
      </c>
      <c r="B29" s="59" t="s">
        <v>83</v>
      </c>
      <c r="C29" s="45" t="str">
        <f>"0912-7LEK-C"&amp;A29&amp;"-"&amp;UPPER(LEFT(B29,1))</f>
        <v>0912-7LEK-C9.1-O</v>
      </c>
      <c r="D29" s="46"/>
      <c r="E29" s="47">
        <v>2</v>
      </c>
      <c r="F29" s="47"/>
      <c r="G29" s="136"/>
      <c r="H29" s="136"/>
      <c r="I29" s="136"/>
      <c r="J29" s="136"/>
      <c r="K29" s="136"/>
      <c r="L29" s="136"/>
      <c r="M29" s="136"/>
      <c r="N29" s="136"/>
      <c r="O29" s="136"/>
      <c r="P29" s="134"/>
      <c r="Q29" s="134"/>
      <c r="R29" s="134"/>
      <c r="S29" s="134"/>
      <c r="T29" s="134">
        <v>120</v>
      </c>
      <c r="U29" s="134"/>
      <c r="V29" s="134"/>
      <c r="W29" s="134"/>
      <c r="X29" s="134">
        <v>4</v>
      </c>
      <c r="Y29" s="48">
        <f>SUM(Z29:AC29)</f>
        <v>120</v>
      </c>
      <c r="Z29" s="48">
        <f>G29+P29</f>
        <v>0</v>
      </c>
      <c r="AA29" s="48">
        <f>I29+R29</f>
        <v>0</v>
      </c>
      <c r="AB29" s="48">
        <f>K29+T29</f>
        <v>120</v>
      </c>
      <c r="AC29" s="48">
        <f>M29+V29</f>
        <v>0</v>
      </c>
      <c r="AD29" s="48">
        <f>SUM(G29:N29,P29:W29)</f>
        <v>120</v>
      </c>
      <c r="AE29" s="48">
        <f>O29+X29</f>
        <v>4</v>
      </c>
    </row>
    <row r="30" spans="1:31" ht="15.75">
      <c r="A30" s="580" t="s">
        <v>9</v>
      </c>
      <c r="B30" s="581"/>
      <c r="C30" s="581"/>
      <c r="D30" s="581"/>
      <c r="E30" s="581"/>
      <c r="F30" s="582"/>
      <c r="G30" s="56">
        <f>SUM(G29:G29)</f>
        <v>0</v>
      </c>
      <c r="H30" s="183">
        <f t="shared" ref="H30:X30" si="12">SUM(H29:H29)</f>
        <v>0</v>
      </c>
      <c r="I30" s="56">
        <f t="shared" si="12"/>
        <v>0</v>
      </c>
      <c r="J30" s="183">
        <f t="shared" si="12"/>
        <v>0</v>
      </c>
      <c r="K30" s="56">
        <f t="shared" si="12"/>
        <v>0</v>
      </c>
      <c r="L30" s="183">
        <f t="shared" si="12"/>
        <v>0</v>
      </c>
      <c r="M30" s="56">
        <f t="shared" si="12"/>
        <v>0</v>
      </c>
      <c r="N30" s="183">
        <f t="shared" si="12"/>
        <v>0</v>
      </c>
      <c r="O30" s="56">
        <f t="shared" si="12"/>
        <v>0</v>
      </c>
      <c r="P30" s="56">
        <f t="shared" si="12"/>
        <v>0</v>
      </c>
      <c r="Q30" s="183">
        <f t="shared" si="12"/>
        <v>0</v>
      </c>
      <c r="R30" s="56">
        <f t="shared" si="12"/>
        <v>0</v>
      </c>
      <c r="S30" s="183">
        <f t="shared" si="12"/>
        <v>0</v>
      </c>
      <c r="T30" s="56">
        <f t="shared" si="12"/>
        <v>120</v>
      </c>
      <c r="U30" s="183">
        <f t="shared" si="12"/>
        <v>0</v>
      </c>
      <c r="V30" s="56">
        <f t="shared" si="12"/>
        <v>0</v>
      </c>
      <c r="W30" s="183">
        <f t="shared" si="12"/>
        <v>0</v>
      </c>
      <c r="X30" s="56">
        <f t="shared" si="12"/>
        <v>4</v>
      </c>
      <c r="Y30" s="56">
        <f t="shared" ref="Y30:AE30" si="13">SUM(Y29)</f>
        <v>120</v>
      </c>
      <c r="Z30" s="56">
        <f t="shared" si="13"/>
        <v>0</v>
      </c>
      <c r="AA30" s="56">
        <f t="shared" si="13"/>
        <v>0</v>
      </c>
      <c r="AB30" s="56">
        <f t="shared" si="13"/>
        <v>120</v>
      </c>
      <c r="AC30" s="56">
        <f t="shared" si="13"/>
        <v>0</v>
      </c>
      <c r="AD30" s="56">
        <f t="shared" si="13"/>
        <v>120</v>
      </c>
      <c r="AE30" s="56">
        <f t="shared" si="13"/>
        <v>4</v>
      </c>
    </row>
    <row r="31" spans="1:31" ht="20.25" customHeight="1">
      <c r="A31" s="50" t="s">
        <v>31</v>
      </c>
      <c r="B31" s="51"/>
      <c r="C31" s="52"/>
      <c r="D31" s="51"/>
      <c r="E31" s="51"/>
      <c r="F31" s="51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4"/>
    </row>
    <row r="32" spans="1:31" ht="24" customHeight="1">
      <c r="A32" s="150">
        <v>10.1</v>
      </c>
      <c r="B32" s="60" t="s">
        <v>206</v>
      </c>
      <c r="C32" s="439" t="s">
        <v>322</v>
      </c>
      <c r="D32" s="252"/>
      <c r="E32" s="252" t="s">
        <v>268</v>
      </c>
      <c r="F32" s="428"/>
      <c r="G32" s="136"/>
      <c r="H32" s="161"/>
      <c r="I32" s="136">
        <v>25</v>
      </c>
      <c r="J32" s="161">
        <v>5</v>
      </c>
      <c r="K32" s="136"/>
      <c r="L32" s="136"/>
      <c r="M32" s="136"/>
      <c r="N32" s="136"/>
      <c r="O32" s="136">
        <v>1</v>
      </c>
      <c r="P32" s="134"/>
      <c r="Q32" s="134"/>
      <c r="R32" s="134">
        <v>25</v>
      </c>
      <c r="S32" s="163">
        <v>5</v>
      </c>
      <c r="T32" s="134"/>
      <c r="U32" s="134"/>
      <c r="V32" s="134"/>
      <c r="W32" s="134"/>
      <c r="X32" s="134">
        <v>1</v>
      </c>
      <c r="Y32" s="48">
        <f>SUM(Z32:AC32)</f>
        <v>50</v>
      </c>
      <c r="Z32" s="48">
        <f>G32+P32</f>
        <v>0</v>
      </c>
      <c r="AA32" s="48">
        <f>I32+R32</f>
        <v>50</v>
      </c>
      <c r="AB32" s="48">
        <f>K32+T32</f>
        <v>0</v>
      </c>
      <c r="AC32" s="48">
        <f>M32+V32</f>
        <v>0</v>
      </c>
      <c r="AD32" s="48">
        <f>SUM(G32:N32,P32:W32)</f>
        <v>60</v>
      </c>
      <c r="AE32" s="48">
        <f>O32+X32</f>
        <v>2</v>
      </c>
    </row>
    <row r="33" spans="1:34" ht="23.25" customHeight="1">
      <c r="A33" s="150">
        <v>10.199999999999999</v>
      </c>
      <c r="B33" s="60" t="s">
        <v>19</v>
      </c>
      <c r="C33" s="439" t="s">
        <v>323</v>
      </c>
      <c r="D33" s="252"/>
      <c r="E33" s="252">
        <v>1</v>
      </c>
      <c r="F33" s="252"/>
      <c r="G33" s="136"/>
      <c r="H33" s="161"/>
      <c r="I33" s="136">
        <v>30</v>
      </c>
      <c r="J33" s="161"/>
      <c r="K33" s="136"/>
      <c r="L33" s="136"/>
      <c r="M33" s="136"/>
      <c r="N33" s="136"/>
      <c r="O33" s="136">
        <v>1</v>
      </c>
      <c r="P33" s="134"/>
      <c r="Q33" s="134"/>
      <c r="R33" s="134"/>
      <c r="S33" s="163"/>
      <c r="T33" s="134"/>
      <c r="U33" s="134"/>
      <c r="V33" s="134"/>
      <c r="W33" s="134"/>
      <c r="X33" s="134"/>
      <c r="Y33" s="48">
        <f>SUM(Z33:AC33)</f>
        <v>30</v>
      </c>
      <c r="Z33" s="48">
        <f>G33+P33</f>
        <v>0</v>
      </c>
      <c r="AA33" s="48">
        <f>I33+R33</f>
        <v>30</v>
      </c>
      <c r="AB33" s="48">
        <f>K33+T33</f>
        <v>0</v>
      </c>
      <c r="AC33" s="48">
        <f>M33+V33</f>
        <v>0</v>
      </c>
      <c r="AD33" s="48">
        <f>SUM(G33:N33,P33:W33)</f>
        <v>30</v>
      </c>
      <c r="AE33" s="48">
        <f>O33+X33</f>
        <v>1</v>
      </c>
    </row>
    <row r="34" spans="1:34" ht="24" customHeight="1">
      <c r="A34" s="150">
        <v>10.3</v>
      </c>
      <c r="B34" s="60" t="s">
        <v>87</v>
      </c>
      <c r="C34" s="439" t="s">
        <v>324</v>
      </c>
      <c r="D34" s="252"/>
      <c r="E34" s="252"/>
      <c r="F34" s="252">
        <v>1</v>
      </c>
      <c r="G34" s="136"/>
      <c r="H34" s="161"/>
      <c r="I34" s="136">
        <v>2</v>
      </c>
      <c r="J34" s="161"/>
      <c r="K34" s="136"/>
      <c r="L34" s="136"/>
      <c r="M34" s="136"/>
      <c r="N34" s="136"/>
      <c r="O34" s="136">
        <v>0</v>
      </c>
      <c r="P34" s="134"/>
      <c r="Q34" s="134"/>
      <c r="R34" s="134"/>
      <c r="S34" s="163"/>
      <c r="T34" s="134"/>
      <c r="U34" s="134"/>
      <c r="V34" s="134"/>
      <c r="W34" s="134"/>
      <c r="X34" s="134"/>
      <c r="Y34" s="48">
        <f>SUM(Z34:AC34)</f>
        <v>2</v>
      </c>
      <c r="Z34" s="48">
        <f>SUM(G34,P34)</f>
        <v>0</v>
      </c>
      <c r="AA34" s="48">
        <f>SUM(I34,R34)</f>
        <v>2</v>
      </c>
      <c r="AB34" s="48">
        <f>SUM(K34,T34)</f>
        <v>0</v>
      </c>
      <c r="AC34" s="48">
        <f>SUM(M34,V34)</f>
        <v>0</v>
      </c>
      <c r="AD34" s="48">
        <f>SUM(G34:N34,P34:W34)</f>
        <v>2</v>
      </c>
      <c r="AE34" s="48">
        <f>SUM(O34,X34)</f>
        <v>0</v>
      </c>
    </row>
    <row r="35" spans="1:34" ht="24" customHeight="1">
      <c r="A35" s="150">
        <v>10.4</v>
      </c>
      <c r="B35" s="60" t="s">
        <v>30</v>
      </c>
      <c r="C35" s="439" t="s">
        <v>325</v>
      </c>
      <c r="D35" s="252"/>
      <c r="E35" s="252"/>
      <c r="F35" s="252">
        <v>1</v>
      </c>
      <c r="G35" s="136">
        <v>5</v>
      </c>
      <c r="H35" s="161"/>
      <c r="I35" s="136"/>
      <c r="J35" s="161"/>
      <c r="K35" s="136"/>
      <c r="L35" s="136"/>
      <c r="M35" s="136"/>
      <c r="N35" s="136"/>
      <c r="O35" s="136">
        <v>0</v>
      </c>
      <c r="P35" s="134"/>
      <c r="Q35" s="134"/>
      <c r="R35" s="134"/>
      <c r="S35" s="163"/>
      <c r="T35" s="134"/>
      <c r="U35" s="134"/>
      <c r="V35" s="134"/>
      <c r="W35" s="134"/>
      <c r="X35" s="134"/>
      <c r="Y35" s="48">
        <f t="shared" ref="Y35:Y36" si="14">SUM(Z35:AC35)</f>
        <v>5</v>
      </c>
      <c r="Z35" s="48">
        <f>SUM(G35,P35)</f>
        <v>5</v>
      </c>
      <c r="AA35" s="48">
        <f>SUM(I35,R35)</f>
        <v>0</v>
      </c>
      <c r="AB35" s="48">
        <f>SUM(K35,T35)</f>
        <v>0</v>
      </c>
      <c r="AC35" s="48">
        <f>SUM(M35,V35)</f>
        <v>0</v>
      </c>
      <c r="AD35" s="48">
        <f>SUM(G35:N35,P35:W35)</f>
        <v>5</v>
      </c>
      <c r="AE35" s="48">
        <f>SUM(O35,X35)</f>
        <v>0</v>
      </c>
    </row>
    <row r="36" spans="1:34" ht="24" customHeight="1">
      <c r="A36" s="150">
        <v>10.5</v>
      </c>
      <c r="B36" s="60" t="s">
        <v>109</v>
      </c>
      <c r="C36" s="439" t="s">
        <v>326</v>
      </c>
      <c r="D36" s="252"/>
      <c r="E36" s="252"/>
      <c r="F36" s="252" t="s">
        <v>123</v>
      </c>
      <c r="G36" s="136"/>
      <c r="H36" s="161"/>
      <c r="I36" s="136">
        <v>15</v>
      </c>
      <c r="J36" s="161"/>
      <c r="K36" s="136"/>
      <c r="L36" s="136"/>
      <c r="M36" s="136"/>
      <c r="N36" s="136"/>
      <c r="O36" s="136">
        <v>0</v>
      </c>
      <c r="P36" s="134"/>
      <c r="Q36" s="134"/>
      <c r="R36" s="134">
        <v>15</v>
      </c>
      <c r="S36" s="163"/>
      <c r="T36" s="134"/>
      <c r="U36" s="134"/>
      <c r="V36" s="134"/>
      <c r="W36" s="134"/>
      <c r="X36" s="134">
        <v>0</v>
      </c>
      <c r="Y36" s="48">
        <f t="shared" si="14"/>
        <v>30</v>
      </c>
      <c r="Z36" s="48">
        <f>SUM(G36,P36)</f>
        <v>0</v>
      </c>
      <c r="AA36" s="48">
        <f>SUM(I36,R36)</f>
        <v>30</v>
      </c>
      <c r="AB36" s="48">
        <f>SUM(K36,T36)</f>
        <v>0</v>
      </c>
      <c r="AC36" s="48">
        <f>SUM(M36,V36)</f>
        <v>0</v>
      </c>
      <c r="AD36" s="48">
        <f>SUM(G36:N36,P36:W36)</f>
        <v>30</v>
      </c>
      <c r="AE36" s="48">
        <f>SUM(O36,X36)</f>
        <v>0</v>
      </c>
    </row>
    <row r="37" spans="1:34" ht="15.75">
      <c r="A37" s="580" t="s">
        <v>9</v>
      </c>
      <c r="B37" s="581"/>
      <c r="C37" s="581"/>
      <c r="D37" s="581"/>
      <c r="E37" s="581"/>
      <c r="F37" s="582"/>
      <c r="G37" s="56">
        <f>SUM(G32:G36)</f>
        <v>5</v>
      </c>
      <c r="H37" s="56">
        <f t="shared" ref="H37:AE37" si="15">SUM(H32:H36)</f>
        <v>0</v>
      </c>
      <c r="I37" s="56">
        <f t="shared" si="15"/>
        <v>72</v>
      </c>
      <c r="J37" s="56">
        <f t="shared" si="15"/>
        <v>5</v>
      </c>
      <c r="K37" s="56">
        <f t="shared" si="15"/>
        <v>0</v>
      </c>
      <c r="L37" s="56">
        <f t="shared" si="15"/>
        <v>0</v>
      </c>
      <c r="M37" s="56">
        <f t="shared" si="15"/>
        <v>0</v>
      </c>
      <c r="N37" s="56">
        <f t="shared" si="15"/>
        <v>0</v>
      </c>
      <c r="O37" s="56">
        <f t="shared" si="15"/>
        <v>2</v>
      </c>
      <c r="P37" s="56">
        <f t="shared" si="15"/>
        <v>0</v>
      </c>
      <c r="Q37" s="56">
        <f t="shared" si="15"/>
        <v>0</v>
      </c>
      <c r="R37" s="56">
        <f t="shared" si="15"/>
        <v>40</v>
      </c>
      <c r="S37" s="56">
        <f t="shared" si="15"/>
        <v>5</v>
      </c>
      <c r="T37" s="56">
        <f t="shared" si="15"/>
        <v>0</v>
      </c>
      <c r="U37" s="56">
        <f t="shared" si="15"/>
        <v>0</v>
      </c>
      <c r="V37" s="56">
        <f t="shared" si="15"/>
        <v>0</v>
      </c>
      <c r="W37" s="56">
        <f t="shared" si="15"/>
        <v>0</v>
      </c>
      <c r="X37" s="56">
        <f t="shared" si="15"/>
        <v>1</v>
      </c>
      <c r="Y37" s="56">
        <f t="shared" si="15"/>
        <v>117</v>
      </c>
      <c r="Z37" s="56">
        <f t="shared" si="15"/>
        <v>5</v>
      </c>
      <c r="AA37" s="56">
        <f t="shared" si="15"/>
        <v>112</v>
      </c>
      <c r="AB37" s="56">
        <f t="shared" si="15"/>
        <v>0</v>
      </c>
      <c r="AC37" s="56">
        <f t="shared" si="15"/>
        <v>0</v>
      </c>
      <c r="AD37" s="56">
        <f t="shared" si="15"/>
        <v>127</v>
      </c>
      <c r="AE37" s="56">
        <f t="shared" si="15"/>
        <v>3</v>
      </c>
    </row>
    <row r="38" spans="1:34" ht="22.5" customHeight="1">
      <c r="A38" s="50" t="s">
        <v>117</v>
      </c>
      <c r="B38" s="51"/>
      <c r="C38" s="52"/>
      <c r="D38" s="51"/>
      <c r="E38" s="51"/>
      <c r="F38" s="51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4"/>
    </row>
    <row r="39" spans="1:34" ht="23.25" customHeight="1">
      <c r="A39" s="149">
        <v>1</v>
      </c>
      <c r="B39" s="593" t="s">
        <v>118</v>
      </c>
      <c r="C39" s="594"/>
      <c r="D39" s="123"/>
      <c r="E39" s="125">
        <v>1</v>
      </c>
      <c r="F39" s="125"/>
      <c r="G39" s="136">
        <v>15</v>
      </c>
      <c r="H39" s="161">
        <v>10</v>
      </c>
      <c r="I39" s="136"/>
      <c r="J39" s="136"/>
      <c r="K39" s="136"/>
      <c r="L39" s="136"/>
      <c r="M39" s="136"/>
      <c r="N39" s="136"/>
      <c r="O39" s="136">
        <v>1</v>
      </c>
      <c r="P39" s="134"/>
      <c r="Q39" s="163"/>
      <c r="R39" s="134"/>
      <c r="S39" s="134"/>
      <c r="T39" s="134"/>
      <c r="U39" s="134"/>
      <c r="V39" s="134"/>
      <c r="W39" s="134"/>
      <c r="X39" s="134"/>
      <c r="Y39" s="48">
        <f>SUM(Z39:AC39)</f>
        <v>15</v>
      </c>
      <c r="Z39" s="48">
        <f>SUM(G39,P39)</f>
        <v>15</v>
      </c>
      <c r="AA39" s="48">
        <f>I39+R39</f>
        <v>0</v>
      </c>
      <c r="AB39" s="48">
        <f>SUM(K40,T40)</f>
        <v>0</v>
      </c>
      <c r="AC39" s="48">
        <f>SUM(M39,V39)</f>
        <v>0</v>
      </c>
      <c r="AD39" s="48">
        <f>SUM(G39:N39,P39:W39)</f>
        <v>25</v>
      </c>
      <c r="AE39" s="48">
        <f>SUM(O39,X39)</f>
        <v>1</v>
      </c>
    </row>
    <row r="40" spans="1:34" ht="23.25" customHeight="1">
      <c r="A40" s="149">
        <v>2</v>
      </c>
      <c r="B40" s="593" t="s">
        <v>118</v>
      </c>
      <c r="C40" s="594"/>
      <c r="D40" s="123"/>
      <c r="E40" s="125">
        <v>2</v>
      </c>
      <c r="F40" s="125"/>
      <c r="G40" s="136"/>
      <c r="H40" s="161"/>
      <c r="I40" s="136"/>
      <c r="J40" s="136"/>
      <c r="K40" s="136"/>
      <c r="L40" s="136"/>
      <c r="M40" s="136"/>
      <c r="N40" s="136"/>
      <c r="O40" s="136"/>
      <c r="P40" s="134">
        <v>15</v>
      </c>
      <c r="Q40" s="163">
        <v>10</v>
      </c>
      <c r="R40" s="134"/>
      <c r="S40" s="134"/>
      <c r="T40" s="134"/>
      <c r="U40" s="134"/>
      <c r="V40" s="134"/>
      <c r="W40" s="134"/>
      <c r="X40" s="134">
        <v>1</v>
      </c>
      <c r="Y40" s="48">
        <f t="shared" ref="Y40:Y42" si="16">SUM(Z40:AC40)</f>
        <v>15</v>
      </c>
      <c r="Z40" s="48">
        <f>SUM(G40,P40)</f>
        <v>15</v>
      </c>
      <c r="AA40" s="48">
        <f t="shared" ref="AA40:AA42" si="17">I40+R40</f>
        <v>0</v>
      </c>
      <c r="AB40" s="48">
        <f>SUM(K41,T41)</f>
        <v>0</v>
      </c>
      <c r="AC40" s="48">
        <f>SUM(M40,V40)</f>
        <v>0</v>
      </c>
      <c r="AD40" s="48">
        <f>SUM(G40:N40,P40:W40)</f>
        <v>25</v>
      </c>
      <c r="AE40" s="48">
        <f>SUM(O40,X40)</f>
        <v>1</v>
      </c>
    </row>
    <row r="41" spans="1:34" ht="23.25" customHeight="1">
      <c r="A41" s="149">
        <v>3</v>
      </c>
      <c r="B41" s="593" t="s">
        <v>118</v>
      </c>
      <c r="C41" s="594"/>
      <c r="D41" s="123"/>
      <c r="E41" s="125">
        <v>2</v>
      </c>
      <c r="F41" s="125"/>
      <c r="G41" s="136"/>
      <c r="H41" s="161"/>
      <c r="I41" s="136"/>
      <c r="J41" s="136"/>
      <c r="K41" s="136"/>
      <c r="L41" s="136"/>
      <c r="M41" s="136"/>
      <c r="N41" s="138"/>
      <c r="O41" s="136"/>
      <c r="P41" s="134">
        <v>15</v>
      </c>
      <c r="Q41" s="163">
        <v>10</v>
      </c>
      <c r="R41" s="134"/>
      <c r="S41" s="134"/>
      <c r="T41" s="134"/>
      <c r="U41" s="134"/>
      <c r="V41" s="134"/>
      <c r="W41" s="134"/>
      <c r="X41" s="134">
        <v>1</v>
      </c>
      <c r="Y41" s="48">
        <f t="shared" si="16"/>
        <v>15</v>
      </c>
      <c r="Z41" s="48">
        <f>SUM(G41,P41)</f>
        <v>15</v>
      </c>
      <c r="AA41" s="48">
        <f t="shared" si="17"/>
        <v>0</v>
      </c>
      <c r="AB41" s="48">
        <f>SUM(K42,T42)</f>
        <v>0</v>
      </c>
      <c r="AC41" s="48">
        <f>SUM(M41,V41)</f>
        <v>0</v>
      </c>
      <c r="AD41" s="48">
        <f>SUM(G41:N41,P41:W41)</f>
        <v>25</v>
      </c>
      <c r="AE41" s="48">
        <f>SUM(O41,X41)</f>
        <v>1</v>
      </c>
    </row>
    <row r="42" spans="1:34" ht="23.25" customHeight="1">
      <c r="A42" s="149">
        <v>4</v>
      </c>
      <c r="B42" s="593" t="s">
        <v>118</v>
      </c>
      <c r="C42" s="594"/>
      <c r="D42" s="123"/>
      <c r="E42" s="125">
        <v>2</v>
      </c>
      <c r="F42" s="125"/>
      <c r="G42" s="136"/>
      <c r="H42" s="161"/>
      <c r="I42" s="136"/>
      <c r="J42" s="136"/>
      <c r="K42" s="136"/>
      <c r="L42" s="136"/>
      <c r="M42" s="136"/>
      <c r="N42" s="136"/>
      <c r="O42" s="136"/>
      <c r="P42" s="134">
        <v>15</v>
      </c>
      <c r="Q42" s="163">
        <v>10</v>
      </c>
      <c r="R42" s="134"/>
      <c r="S42" s="134"/>
      <c r="T42" s="134"/>
      <c r="U42" s="134"/>
      <c r="V42" s="134"/>
      <c r="W42" s="134"/>
      <c r="X42" s="134">
        <v>1</v>
      </c>
      <c r="Y42" s="48">
        <f t="shared" si="16"/>
        <v>15</v>
      </c>
      <c r="Z42" s="48">
        <f>SUM(G42,P42)</f>
        <v>15</v>
      </c>
      <c r="AA42" s="48">
        <f t="shared" si="17"/>
        <v>0</v>
      </c>
      <c r="AB42" s="48">
        <f>SUM(K43,T43)</f>
        <v>0</v>
      </c>
      <c r="AC42" s="48">
        <f>SUM(M42,V42)</f>
        <v>0</v>
      </c>
      <c r="AD42" s="48">
        <f>SUM(G42:N42,P42:W42)</f>
        <v>25</v>
      </c>
      <c r="AE42" s="48">
        <f>SUM(O42,X42)</f>
        <v>1</v>
      </c>
    </row>
    <row r="43" spans="1:34" s="65" customFormat="1" ht="21.75" customHeight="1" thickBot="1">
      <c r="A43" s="590" t="s">
        <v>9</v>
      </c>
      <c r="B43" s="591"/>
      <c r="C43" s="591"/>
      <c r="D43" s="591"/>
      <c r="E43" s="591"/>
      <c r="F43" s="592"/>
      <c r="G43" s="111">
        <f t="shared" ref="G43:Y43" si="18">SUM(G39:G42)</f>
        <v>15</v>
      </c>
      <c r="H43" s="192">
        <f t="shared" si="18"/>
        <v>10</v>
      </c>
      <c r="I43" s="111">
        <f t="shared" si="18"/>
        <v>0</v>
      </c>
      <c r="J43" s="192">
        <f t="shared" si="18"/>
        <v>0</v>
      </c>
      <c r="K43" s="111">
        <f t="shared" si="18"/>
        <v>0</v>
      </c>
      <c r="L43" s="192">
        <f t="shared" si="18"/>
        <v>0</v>
      </c>
      <c r="M43" s="111">
        <f t="shared" si="18"/>
        <v>0</v>
      </c>
      <c r="N43" s="192">
        <f t="shared" si="18"/>
        <v>0</v>
      </c>
      <c r="O43" s="111">
        <f t="shared" si="18"/>
        <v>1</v>
      </c>
      <c r="P43" s="111">
        <f t="shared" si="18"/>
        <v>45</v>
      </c>
      <c r="Q43" s="192">
        <f t="shared" si="18"/>
        <v>30</v>
      </c>
      <c r="R43" s="111">
        <f t="shared" si="18"/>
        <v>0</v>
      </c>
      <c r="S43" s="192">
        <f t="shared" si="18"/>
        <v>0</v>
      </c>
      <c r="T43" s="111">
        <f t="shared" si="18"/>
        <v>0</v>
      </c>
      <c r="U43" s="192">
        <f t="shared" si="18"/>
        <v>0</v>
      </c>
      <c r="V43" s="111">
        <f t="shared" si="18"/>
        <v>0</v>
      </c>
      <c r="W43" s="192">
        <f t="shared" si="18"/>
        <v>0</v>
      </c>
      <c r="X43" s="111">
        <f t="shared" si="18"/>
        <v>3</v>
      </c>
      <c r="Y43" s="111">
        <f t="shared" si="18"/>
        <v>60</v>
      </c>
      <c r="Z43" s="111">
        <f t="shared" ref="Z43:AE43" si="19">SUM(Z39:Z42)</f>
        <v>60</v>
      </c>
      <c r="AA43" s="111">
        <f t="shared" si="19"/>
        <v>0</v>
      </c>
      <c r="AB43" s="111">
        <f t="shared" si="19"/>
        <v>0</v>
      </c>
      <c r="AC43" s="111">
        <f t="shared" si="19"/>
        <v>0</v>
      </c>
      <c r="AD43" s="111">
        <f t="shared" si="19"/>
        <v>100</v>
      </c>
      <c r="AE43" s="111">
        <f t="shared" si="19"/>
        <v>4</v>
      </c>
    </row>
    <row r="44" spans="1:34" ht="27" customHeight="1" thickBot="1">
      <c r="A44" s="587" t="s">
        <v>21</v>
      </c>
      <c r="B44" s="588"/>
      <c r="C44" s="588"/>
      <c r="D44" s="588"/>
      <c r="E44" s="588"/>
      <c r="F44" s="589"/>
      <c r="G44" s="64">
        <f>G13+G19+G27+G30+G37+G43</f>
        <v>190</v>
      </c>
      <c r="H44" s="64">
        <f t="shared" ref="H44:AE44" si="20">H13+H19+H27+H30+H37+H43</f>
        <v>140</v>
      </c>
      <c r="I44" s="64">
        <f t="shared" si="20"/>
        <v>177</v>
      </c>
      <c r="J44" s="64">
        <f t="shared" si="20"/>
        <v>160</v>
      </c>
      <c r="K44" s="64">
        <f t="shared" si="20"/>
        <v>65</v>
      </c>
      <c r="L44" s="64">
        <f t="shared" si="20"/>
        <v>0</v>
      </c>
      <c r="M44" s="64">
        <f t="shared" si="20"/>
        <v>20</v>
      </c>
      <c r="N44" s="64">
        <f t="shared" si="20"/>
        <v>0</v>
      </c>
      <c r="O44" s="64">
        <f t="shared" si="20"/>
        <v>29.5</v>
      </c>
      <c r="P44" s="64">
        <f t="shared" si="20"/>
        <v>150</v>
      </c>
      <c r="Q44" s="64">
        <f t="shared" si="20"/>
        <v>155</v>
      </c>
      <c r="R44" s="64">
        <f t="shared" si="20"/>
        <v>145</v>
      </c>
      <c r="S44" s="64">
        <f t="shared" si="20"/>
        <v>145</v>
      </c>
      <c r="T44" s="64">
        <f t="shared" si="20"/>
        <v>200</v>
      </c>
      <c r="U44" s="64">
        <f t="shared" si="20"/>
        <v>5</v>
      </c>
      <c r="V44" s="64">
        <f t="shared" si="20"/>
        <v>30</v>
      </c>
      <c r="W44" s="64">
        <f t="shared" si="20"/>
        <v>0</v>
      </c>
      <c r="X44" s="64">
        <f t="shared" si="20"/>
        <v>30.5</v>
      </c>
      <c r="Y44" s="64">
        <f t="shared" si="20"/>
        <v>977</v>
      </c>
      <c r="Z44" s="64">
        <f t="shared" si="20"/>
        <v>340</v>
      </c>
      <c r="AA44" s="64">
        <f t="shared" si="20"/>
        <v>322</v>
      </c>
      <c r="AB44" s="64">
        <f t="shared" si="20"/>
        <v>265</v>
      </c>
      <c r="AC44" s="64">
        <f t="shared" si="20"/>
        <v>50</v>
      </c>
      <c r="AD44" s="64">
        <f t="shared" si="20"/>
        <v>1582</v>
      </c>
      <c r="AE44" s="64">
        <f t="shared" si="20"/>
        <v>60</v>
      </c>
      <c r="AF44" s="475"/>
    </row>
    <row r="45" spans="1:34" ht="21" customHeight="1">
      <c r="A45" s="66"/>
      <c r="B45" s="67"/>
      <c r="C45" s="68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Y45" s="573"/>
      <c r="Z45" s="573"/>
      <c r="AA45" s="573"/>
      <c r="AB45" s="573"/>
      <c r="AC45" s="573"/>
      <c r="AD45" s="573"/>
      <c r="AE45" s="70"/>
      <c r="AF45" s="70"/>
      <c r="AG45" s="70"/>
      <c r="AH45" s="70"/>
    </row>
    <row r="46" spans="1:34" ht="30" customHeight="1">
      <c r="A46" s="151" t="s">
        <v>348</v>
      </c>
      <c r="C46" s="68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70"/>
      <c r="Y46" s="573"/>
      <c r="Z46" s="573"/>
      <c r="AA46" s="573"/>
      <c r="AB46" s="573"/>
      <c r="AC46" s="573"/>
      <c r="AD46" s="573"/>
      <c r="AE46" s="70"/>
      <c r="AF46" s="70"/>
      <c r="AG46" s="70"/>
      <c r="AH46" s="70"/>
    </row>
    <row r="47" spans="1:34" ht="33.75" customHeight="1">
      <c r="A47" s="131">
        <v>1</v>
      </c>
      <c r="B47" s="132" t="s">
        <v>114</v>
      </c>
      <c r="C47" s="45" t="str">
        <f>"0912-7LEK-F-"&amp;A47&amp;"-"&amp;UPPER(LEFT(B47,1))&amp;"HKN"</f>
        <v>0912-7LEK-F-1-ZHKN</v>
      </c>
      <c r="D47" s="123"/>
      <c r="E47" s="125">
        <v>1</v>
      </c>
      <c r="F47" s="125"/>
      <c r="G47" s="136">
        <v>15</v>
      </c>
      <c r="H47" s="161">
        <v>10</v>
      </c>
      <c r="I47" s="136"/>
      <c r="J47" s="136"/>
      <c r="K47" s="136"/>
      <c r="L47" s="136"/>
      <c r="M47" s="136"/>
      <c r="N47" s="136"/>
      <c r="O47" s="136">
        <v>1</v>
      </c>
      <c r="P47" s="134"/>
      <c r="Q47" s="163"/>
      <c r="R47" s="134"/>
      <c r="S47" s="134"/>
      <c r="T47" s="134"/>
      <c r="U47" s="134"/>
      <c r="V47" s="134"/>
      <c r="W47" s="134"/>
      <c r="X47" s="134"/>
      <c r="Y47" s="48">
        <f t="shared" ref="Y47:Y52" si="21">SUM(G47,I47,K47,M47,P47,R47,T47,V47)</f>
        <v>15</v>
      </c>
      <c r="Z47" s="48">
        <f t="shared" ref="Z47:Z52" si="22">SUM(G47,P47)</f>
        <v>15</v>
      </c>
      <c r="AA47" s="48">
        <f t="shared" ref="AA47:AA52" si="23">SUM(I47,R47)</f>
        <v>0</v>
      </c>
      <c r="AB47" s="48">
        <f t="shared" ref="AB47:AB52" si="24">SUM(K47,T47)</f>
        <v>0</v>
      </c>
      <c r="AC47" s="48">
        <f t="shared" ref="AC47:AC52" si="25">SUM(M47,V47)</f>
        <v>0</v>
      </c>
      <c r="AD47" s="48">
        <f t="shared" ref="AD47:AD52" si="26">SUM(G47:N47,P47:W47)</f>
        <v>25</v>
      </c>
      <c r="AE47" s="48">
        <f t="shared" ref="AE47:AE52" si="27">SUM(O47,X47)</f>
        <v>1</v>
      </c>
    </row>
    <row r="48" spans="1:34" ht="33.75" customHeight="1">
      <c r="A48" s="131">
        <v>2</v>
      </c>
      <c r="B48" s="132" t="s">
        <v>115</v>
      </c>
      <c r="C48" s="45" t="str">
        <f>"0912-7LEK-F-"&amp;A48&amp;"-"&amp;UPPER(LEFT(B48,1))&amp;"SMŻ"</f>
        <v>0912-7LEK-F-2-ASMŻ</v>
      </c>
      <c r="D48" s="123"/>
      <c r="E48" s="125">
        <v>1</v>
      </c>
      <c r="F48" s="125"/>
      <c r="G48" s="136">
        <v>15</v>
      </c>
      <c r="H48" s="161">
        <v>10</v>
      </c>
      <c r="I48" s="136"/>
      <c r="J48" s="136"/>
      <c r="K48" s="136"/>
      <c r="L48" s="136"/>
      <c r="M48" s="136"/>
      <c r="N48" s="139"/>
      <c r="O48" s="136">
        <v>1</v>
      </c>
      <c r="P48" s="134"/>
      <c r="Q48" s="163"/>
      <c r="R48" s="134"/>
      <c r="S48" s="134"/>
      <c r="T48" s="134"/>
      <c r="U48" s="134"/>
      <c r="V48" s="134"/>
      <c r="W48" s="134"/>
      <c r="X48" s="134"/>
      <c r="Y48" s="48">
        <f t="shared" si="21"/>
        <v>15</v>
      </c>
      <c r="Z48" s="48">
        <f t="shared" si="22"/>
        <v>15</v>
      </c>
      <c r="AA48" s="48">
        <f t="shared" si="23"/>
        <v>0</v>
      </c>
      <c r="AB48" s="48">
        <f t="shared" si="24"/>
        <v>0</v>
      </c>
      <c r="AC48" s="48">
        <f t="shared" si="25"/>
        <v>0</v>
      </c>
      <c r="AD48" s="48">
        <f t="shared" si="26"/>
        <v>25</v>
      </c>
      <c r="AE48" s="48">
        <f t="shared" si="27"/>
        <v>1</v>
      </c>
    </row>
    <row r="49" spans="1:34" ht="33.75" customHeight="1">
      <c r="A49" s="131">
        <v>3</v>
      </c>
      <c r="B49" s="132" t="s">
        <v>125</v>
      </c>
      <c r="C49" s="45" t="str">
        <f>"0912-7LEK-F-"&amp;A49&amp;"-"&amp;UPPER(LEFT(B49,1))&amp;"ST"</f>
        <v>0912-7LEK-F-3-NST</v>
      </c>
      <c r="D49" s="462"/>
      <c r="E49" s="463">
        <v>2</v>
      </c>
      <c r="F49" s="463"/>
      <c r="G49" s="136"/>
      <c r="H49" s="161"/>
      <c r="I49" s="136"/>
      <c r="J49" s="136"/>
      <c r="K49" s="136"/>
      <c r="L49" s="136"/>
      <c r="M49" s="136"/>
      <c r="N49" s="136"/>
      <c r="O49" s="136"/>
      <c r="P49" s="134">
        <v>15</v>
      </c>
      <c r="Q49" s="163">
        <v>10</v>
      </c>
      <c r="R49" s="134"/>
      <c r="S49" s="134"/>
      <c r="T49" s="134"/>
      <c r="U49" s="134"/>
      <c r="V49" s="134"/>
      <c r="W49" s="134"/>
      <c r="X49" s="134">
        <v>1</v>
      </c>
      <c r="Y49" s="48">
        <f>SUM(G49,I49,K49,M49,P49,R49,T49,V49)</f>
        <v>15</v>
      </c>
      <c r="Z49" s="48">
        <f>SUM(G49,P49)</f>
        <v>15</v>
      </c>
      <c r="AA49" s="48">
        <f>SUM(I49,R49)</f>
        <v>0</v>
      </c>
      <c r="AB49" s="48">
        <f>SUM(K49,T49)</f>
        <v>0</v>
      </c>
      <c r="AC49" s="48">
        <f>SUM(M49,V49)</f>
        <v>0</v>
      </c>
      <c r="AD49" s="48">
        <f>SUM(G49:N49,P49:W49)</f>
        <v>25</v>
      </c>
      <c r="AE49" s="48">
        <f>SUM(O49,X49)</f>
        <v>1</v>
      </c>
    </row>
    <row r="50" spans="1:34" ht="33.75" customHeight="1">
      <c r="A50" s="131">
        <v>4</v>
      </c>
      <c r="B50" s="132" t="s">
        <v>119</v>
      </c>
      <c r="C50" s="45" t="str">
        <f>"0912-7LEK-F-"&amp;A50&amp;"-"&amp;UPPER(LEFT(B50,1))&amp;"C"</f>
        <v>0912-7LEK-F-4-SC</v>
      </c>
      <c r="D50" s="123"/>
      <c r="E50" s="125">
        <v>2</v>
      </c>
      <c r="F50" s="125"/>
      <c r="G50" s="136"/>
      <c r="H50" s="161"/>
      <c r="I50" s="136"/>
      <c r="J50" s="136"/>
      <c r="K50" s="136"/>
      <c r="L50" s="136"/>
      <c r="M50" s="136"/>
      <c r="N50" s="136"/>
      <c r="O50" s="136"/>
      <c r="P50" s="134">
        <v>15</v>
      </c>
      <c r="Q50" s="163">
        <v>10</v>
      </c>
      <c r="R50" s="134"/>
      <c r="S50" s="134"/>
      <c r="T50" s="134"/>
      <c r="U50" s="134"/>
      <c r="V50" s="134"/>
      <c r="W50" s="134"/>
      <c r="X50" s="134">
        <v>1</v>
      </c>
      <c r="Y50" s="48">
        <f t="shared" si="21"/>
        <v>15</v>
      </c>
      <c r="Z50" s="48">
        <f t="shared" si="22"/>
        <v>15</v>
      </c>
      <c r="AA50" s="48">
        <f t="shared" si="23"/>
        <v>0</v>
      </c>
      <c r="AB50" s="48">
        <f t="shared" si="24"/>
        <v>0</v>
      </c>
      <c r="AC50" s="48">
        <f t="shared" si="25"/>
        <v>0</v>
      </c>
      <c r="AD50" s="48">
        <f t="shared" si="26"/>
        <v>25</v>
      </c>
      <c r="AE50" s="48">
        <f t="shared" si="27"/>
        <v>1</v>
      </c>
    </row>
    <row r="51" spans="1:34" ht="33.75" customHeight="1">
      <c r="A51" s="131">
        <v>5</v>
      </c>
      <c r="B51" s="132" t="s">
        <v>181</v>
      </c>
      <c r="C51" s="45" t="str">
        <f>"0912-7LEK-F-"&amp;A51&amp;"-"&amp;UPPER(LEFT(B51,1))&amp;"SP"</f>
        <v>0912-7LEK-F-5-SSP</v>
      </c>
      <c r="D51" s="123"/>
      <c r="E51" s="125">
        <v>2</v>
      </c>
      <c r="F51" s="125"/>
      <c r="G51" s="136"/>
      <c r="H51" s="161"/>
      <c r="I51" s="136"/>
      <c r="J51" s="136"/>
      <c r="K51" s="136"/>
      <c r="L51" s="136"/>
      <c r="M51" s="136"/>
      <c r="N51" s="136"/>
      <c r="O51" s="136"/>
      <c r="P51" s="134">
        <v>15</v>
      </c>
      <c r="Q51" s="163">
        <v>10</v>
      </c>
      <c r="R51" s="134"/>
      <c r="S51" s="134"/>
      <c r="T51" s="134"/>
      <c r="U51" s="134"/>
      <c r="V51" s="134"/>
      <c r="W51" s="134"/>
      <c r="X51" s="134">
        <v>1</v>
      </c>
      <c r="Y51" s="48">
        <f t="shared" si="21"/>
        <v>15</v>
      </c>
      <c r="Z51" s="48">
        <f t="shared" si="22"/>
        <v>15</v>
      </c>
      <c r="AA51" s="48">
        <f t="shared" si="23"/>
        <v>0</v>
      </c>
      <c r="AB51" s="48">
        <f t="shared" si="24"/>
        <v>0</v>
      </c>
      <c r="AC51" s="48">
        <f t="shared" si="25"/>
        <v>0</v>
      </c>
      <c r="AD51" s="48">
        <f t="shared" si="26"/>
        <v>25</v>
      </c>
      <c r="AE51" s="48">
        <f t="shared" si="27"/>
        <v>1</v>
      </c>
    </row>
    <row r="52" spans="1:34" ht="33.75" customHeight="1">
      <c r="A52" s="131">
        <v>6</v>
      </c>
      <c r="B52" s="132" t="s">
        <v>116</v>
      </c>
      <c r="C52" s="45" t="str">
        <f>"0912-7LEK-F-"&amp;A52&amp;"-"&amp;UPPER(LEFT(B52,1))&amp;"T"</f>
        <v>0912-7LEK-F-6-NT</v>
      </c>
      <c r="D52" s="123"/>
      <c r="E52" s="125">
        <v>2</v>
      </c>
      <c r="F52" s="125"/>
      <c r="G52" s="136"/>
      <c r="H52" s="161"/>
      <c r="I52" s="136"/>
      <c r="J52" s="136"/>
      <c r="K52" s="136"/>
      <c r="L52" s="136"/>
      <c r="M52" s="136"/>
      <c r="N52" s="136"/>
      <c r="O52" s="136"/>
      <c r="P52" s="134">
        <v>15</v>
      </c>
      <c r="Q52" s="163">
        <v>10</v>
      </c>
      <c r="R52" s="134"/>
      <c r="S52" s="134"/>
      <c r="T52" s="134"/>
      <c r="U52" s="134"/>
      <c r="V52" s="134"/>
      <c r="W52" s="134"/>
      <c r="X52" s="134">
        <v>1</v>
      </c>
      <c r="Y52" s="48">
        <f t="shared" si="21"/>
        <v>15</v>
      </c>
      <c r="Z52" s="48">
        <f t="shared" si="22"/>
        <v>15</v>
      </c>
      <c r="AA52" s="48">
        <f t="shared" si="23"/>
        <v>0</v>
      </c>
      <c r="AB52" s="48">
        <f t="shared" si="24"/>
        <v>0</v>
      </c>
      <c r="AC52" s="48">
        <f t="shared" si="25"/>
        <v>0</v>
      </c>
      <c r="AD52" s="48">
        <f t="shared" si="26"/>
        <v>25</v>
      </c>
      <c r="AE52" s="48">
        <f t="shared" si="27"/>
        <v>1</v>
      </c>
    </row>
    <row r="53" spans="1:34" ht="20.25">
      <c r="A53" s="67"/>
      <c r="B53" s="67"/>
      <c r="C53" s="68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</row>
    <row r="54" spans="1:34" ht="21" customHeight="1">
      <c r="A54" s="67"/>
      <c r="B54" s="67"/>
      <c r="C54" s="68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 t="s">
        <v>126</v>
      </c>
      <c r="W54" s="69"/>
    </row>
    <row r="55" spans="1:34" ht="20.25">
      <c r="B55" s="72"/>
      <c r="C55" s="144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</row>
    <row r="56" spans="1:34" ht="21" customHeight="1">
      <c r="A56" s="73"/>
      <c r="B56" s="74"/>
      <c r="C56" s="14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6"/>
      <c r="P56" s="76"/>
      <c r="Q56" s="76"/>
      <c r="R56" s="76"/>
      <c r="S56" s="76"/>
      <c r="T56" s="76"/>
      <c r="U56" s="77"/>
      <c r="V56" s="77"/>
      <c r="W56" s="77"/>
    </row>
    <row r="57" spans="1:34" ht="21" customHeight="1">
      <c r="A57" s="73"/>
      <c r="B57" s="74"/>
      <c r="C57" s="14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6"/>
      <c r="P57" s="76"/>
      <c r="Q57" s="76"/>
      <c r="R57" s="76"/>
      <c r="S57" s="76"/>
      <c r="T57" s="76"/>
      <c r="U57" s="77"/>
      <c r="V57" s="77"/>
      <c r="W57" s="77"/>
    </row>
    <row r="58" spans="1:34" ht="21" customHeight="1">
      <c r="A58" s="73"/>
      <c r="B58" s="586" t="s">
        <v>207</v>
      </c>
      <c r="C58" s="586"/>
      <c r="D58" s="586"/>
      <c r="E58" s="586"/>
      <c r="F58" s="586"/>
      <c r="G58" s="586"/>
      <c r="H58" s="586"/>
      <c r="I58" s="586"/>
      <c r="J58" s="586"/>
      <c r="K58" s="75"/>
      <c r="L58" s="75"/>
      <c r="M58" s="75"/>
      <c r="N58" s="75"/>
      <c r="O58" s="76"/>
      <c r="P58" s="76"/>
      <c r="Q58" s="76"/>
      <c r="R58" s="76"/>
      <c r="S58" s="76"/>
      <c r="T58" s="76"/>
      <c r="U58" s="77"/>
      <c r="V58" s="77"/>
      <c r="W58" s="77"/>
    </row>
    <row r="59" spans="1:34" ht="24.75" customHeight="1">
      <c r="A59" s="78"/>
      <c r="B59" s="79"/>
      <c r="C59" s="146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6"/>
      <c r="P59" s="76"/>
      <c r="Q59" s="76"/>
      <c r="R59" s="76"/>
      <c r="S59" s="76"/>
      <c r="T59" s="76"/>
      <c r="U59" s="77"/>
      <c r="V59" s="77"/>
      <c r="W59" s="77"/>
      <c r="Y59" s="80"/>
      <c r="Z59" s="80"/>
      <c r="AA59" s="80"/>
      <c r="AB59" s="80"/>
      <c r="AC59" s="80"/>
      <c r="AD59" s="80"/>
      <c r="AE59" s="80"/>
      <c r="AF59" s="80"/>
      <c r="AG59" s="80"/>
      <c r="AH59" s="80"/>
    </row>
    <row r="60" spans="1:34" ht="20.25">
      <c r="A60" s="81"/>
      <c r="B60" s="74"/>
      <c r="C60" s="145"/>
      <c r="D60" s="75"/>
      <c r="E60" s="75"/>
      <c r="F60" s="82"/>
      <c r="G60" s="82"/>
      <c r="H60" s="82"/>
      <c r="I60" s="82"/>
      <c r="J60" s="82"/>
      <c r="K60" s="82"/>
      <c r="L60" s="82"/>
      <c r="M60" s="82"/>
      <c r="N60" s="82"/>
      <c r="O60" s="83"/>
      <c r="P60" s="83"/>
      <c r="Q60" s="83"/>
      <c r="R60" s="83"/>
      <c r="S60" s="83"/>
      <c r="T60" s="83"/>
      <c r="U60" s="84"/>
      <c r="V60" s="84"/>
      <c r="W60" s="84"/>
    </row>
    <row r="61" spans="1:34" ht="20.25">
      <c r="A61" s="85"/>
      <c r="B61" s="74"/>
      <c r="C61" s="14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6"/>
      <c r="P61" s="76"/>
      <c r="Q61" s="76"/>
      <c r="R61" s="76"/>
      <c r="S61" s="76"/>
      <c r="T61" s="76"/>
      <c r="U61" s="77"/>
      <c r="V61" s="77"/>
      <c r="W61" s="77"/>
      <c r="X61" s="86"/>
    </row>
    <row r="62" spans="1:34" s="80" customFormat="1" ht="20.25">
      <c r="A62" s="85"/>
      <c r="B62" s="74"/>
      <c r="C62" s="14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6"/>
      <c r="P62" s="76"/>
      <c r="Q62" s="76"/>
      <c r="R62" s="76"/>
      <c r="S62" s="76"/>
      <c r="T62" s="76"/>
      <c r="U62" s="77"/>
      <c r="V62" s="77"/>
      <c r="W62" s="77"/>
      <c r="X62" s="86"/>
      <c r="Y62" s="39"/>
      <c r="Z62" s="39"/>
      <c r="AA62" s="39"/>
      <c r="AB62" s="39"/>
      <c r="AC62" s="39"/>
      <c r="AD62" s="39"/>
      <c r="AE62" s="39"/>
      <c r="AF62" s="39"/>
      <c r="AG62" s="39"/>
      <c r="AH62" s="39"/>
    </row>
    <row r="63" spans="1:34" ht="20.25">
      <c r="A63" s="85"/>
      <c r="B63" s="74"/>
      <c r="C63" s="145"/>
      <c r="D63" s="82"/>
      <c r="E63" s="82"/>
      <c r="F63" s="75"/>
      <c r="G63" s="75"/>
      <c r="H63" s="75"/>
      <c r="I63" s="75"/>
      <c r="J63" s="75"/>
      <c r="K63" s="75"/>
      <c r="L63" s="75"/>
      <c r="M63" s="75"/>
      <c r="N63" s="75"/>
      <c r="O63" s="76"/>
      <c r="P63" s="76"/>
      <c r="Q63" s="76"/>
      <c r="R63" s="76"/>
      <c r="S63" s="76"/>
      <c r="T63" s="76"/>
      <c r="U63" s="77"/>
      <c r="V63" s="77"/>
      <c r="W63" s="77"/>
      <c r="X63" s="86"/>
    </row>
    <row r="64" spans="1:34" ht="20.25">
      <c r="A64" s="85"/>
      <c r="B64" s="74"/>
      <c r="C64" s="14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6"/>
      <c r="P64" s="76"/>
      <c r="Q64" s="76"/>
      <c r="R64" s="76"/>
      <c r="S64" s="76"/>
      <c r="T64" s="76"/>
      <c r="U64" s="77"/>
      <c r="V64" s="77"/>
      <c r="W64" s="77"/>
      <c r="X64" s="86"/>
    </row>
    <row r="65" spans="1:34" ht="20.25">
      <c r="B65" s="87"/>
      <c r="C65" s="147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7"/>
      <c r="V65" s="77"/>
      <c r="W65" s="77"/>
      <c r="X65" s="86"/>
    </row>
    <row r="66" spans="1:34" ht="20.25">
      <c r="A66" s="88"/>
      <c r="B66" s="72"/>
      <c r="C66" s="144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86"/>
    </row>
    <row r="67" spans="1:34" ht="21" customHeight="1">
      <c r="A67" s="89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</row>
    <row r="68" spans="1:34" ht="15" customHeight="1">
      <c r="A68" s="90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</row>
    <row r="69" spans="1:34" s="80" customFormat="1" ht="20.25">
      <c r="A69" s="90"/>
      <c r="B69" s="91"/>
      <c r="C69" s="144"/>
      <c r="D69" s="77"/>
      <c r="E69" s="77"/>
      <c r="F69" s="77"/>
      <c r="G69" s="77"/>
      <c r="H69" s="86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39"/>
      <c r="Z69" s="39"/>
      <c r="AA69" s="39"/>
      <c r="AB69" s="39"/>
      <c r="AC69" s="39"/>
      <c r="AD69" s="39"/>
      <c r="AE69" s="39"/>
      <c r="AF69" s="39"/>
      <c r="AG69" s="39"/>
      <c r="AH69" s="39"/>
    </row>
    <row r="70" spans="1:34" ht="20.25">
      <c r="A70" s="90"/>
      <c r="X70" s="77"/>
    </row>
    <row r="71" spans="1:34">
      <c r="A71" s="90"/>
    </row>
    <row r="72" spans="1:34">
      <c r="A72" s="90"/>
    </row>
    <row r="73" spans="1:34">
      <c r="A73" s="89"/>
    </row>
    <row r="74" spans="1:34">
      <c r="A74" s="88"/>
    </row>
    <row r="75" spans="1:34">
      <c r="A75" s="88"/>
    </row>
    <row r="76" spans="1:34">
      <c r="A76" s="93"/>
    </row>
    <row r="77" spans="1:34">
      <c r="A77" s="93"/>
    </row>
    <row r="78" spans="1:34">
      <c r="A78" s="93"/>
    </row>
    <row r="79" spans="1:34">
      <c r="A79" s="93"/>
    </row>
    <row r="80" spans="1:34">
      <c r="A80" s="93"/>
    </row>
    <row r="81" spans="1:8">
      <c r="A81" s="93"/>
    </row>
    <row r="82" spans="1:8">
      <c r="A82" s="93"/>
    </row>
    <row r="83" spans="1:8">
      <c r="A83" s="93"/>
    </row>
    <row r="84" spans="1:8">
      <c r="A84" s="93"/>
    </row>
    <row r="85" spans="1:8">
      <c r="A85" s="93"/>
    </row>
    <row r="86" spans="1:8">
      <c r="A86" s="93"/>
    </row>
    <row r="87" spans="1:8">
      <c r="A87" s="93"/>
    </row>
    <row r="88" spans="1:8">
      <c r="A88" s="94"/>
      <c r="B88" s="95"/>
    </row>
    <row r="89" spans="1:8">
      <c r="A89" s="94"/>
    </row>
    <row r="90" spans="1:8">
      <c r="A90" s="96"/>
      <c r="B90" s="95"/>
      <c r="H90" s="97"/>
    </row>
    <row r="91" spans="1:8">
      <c r="A91" s="96"/>
      <c r="B91" s="95"/>
    </row>
    <row r="92" spans="1:8">
      <c r="A92" s="96"/>
      <c r="B92" s="95"/>
    </row>
    <row r="93" spans="1:8">
      <c r="A93" s="96"/>
      <c r="B93" s="95"/>
    </row>
    <row r="94" spans="1:8">
      <c r="A94" s="96"/>
      <c r="B94" s="95"/>
    </row>
    <row r="95" spans="1:8">
      <c r="A95" s="96"/>
      <c r="B95" s="95"/>
    </row>
    <row r="96" spans="1:8">
      <c r="A96" s="96"/>
      <c r="B96" s="95"/>
    </row>
    <row r="97" spans="1:2">
      <c r="A97" s="96"/>
      <c r="B97" s="95"/>
    </row>
    <row r="98" spans="1:2">
      <c r="A98" s="96"/>
      <c r="B98" s="95"/>
    </row>
    <row r="99" spans="1:2">
      <c r="A99" s="96"/>
      <c r="B99" s="95"/>
    </row>
    <row r="100" spans="1:2">
      <c r="A100" s="96"/>
      <c r="B100" s="95"/>
    </row>
    <row r="101" spans="1:2">
      <c r="A101" s="96"/>
      <c r="B101" s="95"/>
    </row>
    <row r="102" spans="1:2">
      <c r="A102" s="96"/>
      <c r="B102" s="95"/>
    </row>
    <row r="103" spans="1:2">
      <c r="A103" s="96"/>
      <c r="B103" s="95"/>
    </row>
    <row r="104" spans="1:2">
      <c r="A104" s="96"/>
      <c r="B104" s="95"/>
    </row>
    <row r="105" spans="1:2">
      <c r="A105" s="96"/>
      <c r="B105" s="95"/>
    </row>
    <row r="106" spans="1:2">
      <c r="A106" s="96"/>
      <c r="B106" s="95"/>
    </row>
    <row r="107" spans="1:2">
      <c r="A107" s="96"/>
      <c r="B107" s="95"/>
    </row>
    <row r="108" spans="1:2">
      <c r="A108" s="96"/>
      <c r="B108" s="95"/>
    </row>
    <row r="109" spans="1:2">
      <c r="A109" s="96"/>
      <c r="B109" s="95"/>
    </row>
    <row r="110" spans="1:2">
      <c r="A110" s="96"/>
      <c r="B110" s="95"/>
    </row>
    <row r="111" spans="1:2">
      <c r="A111" s="96"/>
      <c r="B111" s="95"/>
    </row>
    <row r="112" spans="1:2">
      <c r="A112" s="96"/>
      <c r="B112" s="95"/>
    </row>
    <row r="113" spans="1:2">
      <c r="A113" s="96"/>
      <c r="B113" s="95"/>
    </row>
    <row r="114" spans="1:2">
      <c r="A114" s="96"/>
      <c r="B114" s="95"/>
    </row>
    <row r="115" spans="1:2">
      <c r="A115" s="96"/>
      <c r="B115" s="95"/>
    </row>
    <row r="116" spans="1:2">
      <c r="A116" s="96"/>
      <c r="B116" s="95"/>
    </row>
    <row r="117" spans="1:2">
      <c r="A117" s="96"/>
      <c r="B117" s="95"/>
    </row>
    <row r="118" spans="1:2">
      <c r="A118" s="96"/>
      <c r="B118" s="95"/>
    </row>
    <row r="119" spans="1:2">
      <c r="A119" s="96"/>
      <c r="B119" s="95"/>
    </row>
    <row r="120" spans="1:2">
      <c r="A120" s="96"/>
      <c r="B120" s="95"/>
    </row>
    <row r="121" spans="1:2">
      <c r="A121" s="96"/>
      <c r="B121" s="95"/>
    </row>
    <row r="122" spans="1:2">
      <c r="A122" s="96"/>
      <c r="B122" s="95"/>
    </row>
    <row r="123" spans="1:2">
      <c r="A123" s="96"/>
      <c r="B123" s="95"/>
    </row>
    <row r="124" spans="1:2">
      <c r="A124" s="96"/>
      <c r="B124" s="95"/>
    </row>
    <row r="125" spans="1:2">
      <c r="A125" s="96"/>
      <c r="B125" s="95"/>
    </row>
    <row r="126" spans="1:2">
      <c r="A126" s="96"/>
      <c r="B126" s="95"/>
    </row>
    <row r="127" spans="1:2">
      <c r="A127" s="96"/>
      <c r="B127" s="95"/>
    </row>
    <row r="128" spans="1:2">
      <c r="A128" s="96"/>
      <c r="B128" s="95"/>
    </row>
    <row r="129" spans="1:2">
      <c r="A129" s="96"/>
      <c r="B129" s="95"/>
    </row>
    <row r="130" spans="1:2">
      <c r="A130" s="96"/>
      <c r="B130" s="95"/>
    </row>
    <row r="131" spans="1:2">
      <c r="A131" s="96"/>
      <c r="B131" s="95"/>
    </row>
    <row r="132" spans="1:2">
      <c r="A132" s="96"/>
      <c r="B132" s="95"/>
    </row>
    <row r="133" spans="1:2">
      <c r="A133" s="96"/>
      <c r="B133" s="95"/>
    </row>
    <row r="134" spans="1:2">
      <c r="A134" s="96"/>
      <c r="B134" s="95"/>
    </row>
    <row r="135" spans="1:2">
      <c r="A135" s="96"/>
      <c r="B135" s="95"/>
    </row>
    <row r="136" spans="1:2">
      <c r="A136" s="96"/>
      <c r="B136" s="95"/>
    </row>
  </sheetData>
  <mergeCells count="46">
    <mergeCell ref="B58:J58"/>
    <mergeCell ref="A44:F44"/>
    <mergeCell ref="A43:F43"/>
    <mergeCell ref="A37:F37"/>
    <mergeCell ref="A27:F27"/>
    <mergeCell ref="A30:F30"/>
    <mergeCell ref="B42:C42"/>
    <mergeCell ref="B41:C41"/>
    <mergeCell ref="B40:C40"/>
    <mergeCell ref="B39:C39"/>
    <mergeCell ref="F8:F9"/>
    <mergeCell ref="D6:F7"/>
    <mergeCell ref="B6:B9"/>
    <mergeCell ref="A19:F19"/>
    <mergeCell ref="A13:F13"/>
    <mergeCell ref="C6:C9"/>
    <mergeCell ref="D8:D9"/>
    <mergeCell ref="A6:A9"/>
    <mergeCell ref="Y45:AD46"/>
    <mergeCell ref="AD6:AD9"/>
    <mergeCell ref="Y6:Y9"/>
    <mergeCell ref="R8:S8"/>
    <mergeCell ref="X8:X9"/>
    <mergeCell ref="V8:W8"/>
    <mergeCell ref="T8:U8"/>
    <mergeCell ref="G6:X6"/>
    <mergeCell ref="P8:Q8"/>
    <mergeCell ref="G7:O7"/>
    <mergeCell ref="G8:H8"/>
    <mergeCell ref="K8:L8"/>
    <mergeCell ref="A1:AE1"/>
    <mergeCell ref="A5:F5"/>
    <mergeCell ref="G5:AE5"/>
    <mergeCell ref="P7:X7"/>
    <mergeCell ref="AE6:AE9"/>
    <mergeCell ref="I8:J8"/>
    <mergeCell ref="O8:O9"/>
    <mergeCell ref="M8:N8"/>
    <mergeCell ref="AC6:AC9"/>
    <mergeCell ref="AB6:AB9"/>
    <mergeCell ref="AA6:AA9"/>
    <mergeCell ref="Z6:Z9"/>
    <mergeCell ref="A2:B2"/>
    <mergeCell ref="A3:B3"/>
    <mergeCell ref="H2:P2"/>
    <mergeCell ref="E8:E9"/>
  </mergeCells>
  <pageMargins left="0.23622047244094491" right="0.23622047244094491" top="0" bottom="0" header="0" footer="0"/>
  <pageSetup paperSize="9" scale="37" orientation="landscape" r:id="rId1"/>
  <rowBreaks count="1" manualBreakCount="1">
    <brk id="44" max="3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7"/>
  <sheetViews>
    <sheetView zoomScale="70" zoomScaleNormal="70" zoomScaleSheetLayoutView="80" workbookViewId="0">
      <pane ySplit="9" topLeftCell="A10" activePane="bottomLeft" state="frozen"/>
      <selection pane="bottomLeft" activeCell="AF10" sqref="AF10"/>
    </sheetView>
  </sheetViews>
  <sheetFormatPr defaultRowHeight="15"/>
  <cols>
    <col min="1" max="1" width="6" style="170" customWidth="1"/>
    <col min="2" max="2" width="47.85546875" customWidth="1"/>
    <col min="3" max="3" width="22.5703125" customWidth="1"/>
    <col min="4" max="4" width="6.5703125" customWidth="1"/>
    <col min="5" max="5" width="7.85546875" customWidth="1"/>
    <col min="6" max="7" width="6.5703125" customWidth="1"/>
    <col min="8" max="24" width="6.140625" customWidth="1"/>
    <col min="25" max="25" width="8.28515625" customWidth="1"/>
    <col min="26" max="29" width="6.7109375" customWidth="1"/>
    <col min="30" max="30" width="9.85546875" customWidth="1"/>
    <col min="31" max="31" width="9.140625" customWidth="1"/>
  </cols>
  <sheetData>
    <row r="1" spans="1:31" s="39" customFormat="1" ht="42.75" customHeight="1">
      <c r="A1" s="550" t="s">
        <v>263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51"/>
      <c r="AA1" s="551"/>
      <c r="AB1" s="551"/>
      <c r="AC1" s="551"/>
      <c r="AD1" s="551"/>
      <c r="AE1" s="551"/>
    </row>
    <row r="2" spans="1:31" s="39" customFormat="1" ht="42.75" customHeight="1">
      <c r="A2" s="568" t="s">
        <v>112</v>
      </c>
      <c r="B2" s="568"/>
      <c r="C2" s="140" t="s">
        <v>113</v>
      </c>
      <c r="E2" s="128"/>
      <c r="F2" s="128"/>
      <c r="G2" s="128"/>
      <c r="H2" s="570" t="s">
        <v>121</v>
      </c>
      <c r="I2" s="570"/>
      <c r="J2" s="570"/>
      <c r="K2" s="570"/>
      <c r="L2" s="570"/>
      <c r="M2" s="570"/>
      <c r="N2" s="570"/>
      <c r="O2" s="570"/>
      <c r="P2" s="570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</row>
    <row r="3" spans="1:31" s="39" customFormat="1" ht="34.5" customHeight="1">
      <c r="A3" s="569" t="s">
        <v>111</v>
      </c>
      <c r="B3" s="569"/>
      <c r="C3" s="141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</row>
    <row r="4" spans="1:31" s="39" customFormat="1" ht="9" customHeight="1">
      <c r="A4" s="171"/>
      <c r="C4" s="142"/>
      <c r="D4" s="129"/>
      <c r="E4" s="130"/>
      <c r="F4" s="129"/>
      <c r="G4" s="130"/>
      <c r="H4" s="129"/>
      <c r="I4" s="130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</row>
    <row r="5" spans="1:31" ht="20.25" customHeight="1">
      <c r="A5" s="596"/>
      <c r="B5" s="597"/>
      <c r="C5" s="597"/>
      <c r="D5" s="597"/>
      <c r="E5" s="597"/>
      <c r="F5" s="598"/>
      <c r="G5" s="599" t="s">
        <v>103</v>
      </c>
      <c r="H5" s="599"/>
      <c r="I5" s="599"/>
      <c r="J5" s="599"/>
      <c r="K5" s="599"/>
      <c r="L5" s="599"/>
      <c r="M5" s="599"/>
      <c r="N5" s="599"/>
      <c r="O5" s="599"/>
      <c r="P5" s="599"/>
      <c r="Q5" s="599"/>
      <c r="R5" s="599"/>
      <c r="S5" s="599"/>
      <c r="T5" s="599"/>
      <c r="U5" s="599"/>
      <c r="V5" s="599"/>
      <c r="W5" s="599"/>
      <c r="X5" s="599"/>
      <c r="Y5" s="599"/>
      <c r="Z5" s="599"/>
      <c r="AA5" s="599"/>
      <c r="AB5" s="599"/>
      <c r="AC5" s="599"/>
      <c r="AD5" s="599"/>
      <c r="AE5" s="600"/>
    </row>
    <row r="6" spans="1:31" ht="15" customHeight="1">
      <c r="A6" s="601" t="s">
        <v>0</v>
      </c>
      <c r="B6" s="578" t="s">
        <v>4</v>
      </c>
      <c r="C6" s="578" t="s">
        <v>1</v>
      </c>
      <c r="D6" s="603" t="s">
        <v>8</v>
      </c>
      <c r="E6" s="603"/>
      <c r="F6" s="603"/>
      <c r="G6" s="108"/>
      <c r="H6" s="108"/>
      <c r="I6" s="108"/>
      <c r="J6" s="108"/>
      <c r="K6" s="108"/>
      <c r="L6" s="108"/>
      <c r="M6" s="108"/>
      <c r="N6" s="108"/>
      <c r="O6" s="108" t="s">
        <v>120</v>
      </c>
      <c r="P6" s="108"/>
      <c r="Q6" s="108"/>
      <c r="R6" s="108"/>
      <c r="S6" s="108"/>
      <c r="T6" s="108"/>
      <c r="U6" s="108"/>
      <c r="V6" s="108"/>
      <c r="W6" s="108"/>
      <c r="X6" s="108"/>
      <c r="Y6" s="561" t="s">
        <v>5</v>
      </c>
      <c r="Z6" s="561" t="s">
        <v>89</v>
      </c>
      <c r="AA6" s="561" t="s">
        <v>88</v>
      </c>
      <c r="AB6" s="561" t="s">
        <v>94</v>
      </c>
      <c r="AC6" s="561" t="s">
        <v>90</v>
      </c>
      <c r="AD6" s="561" t="s">
        <v>14</v>
      </c>
      <c r="AE6" s="561" t="s">
        <v>6</v>
      </c>
    </row>
    <row r="7" spans="1:31" ht="15" customHeight="1">
      <c r="A7" s="601"/>
      <c r="B7" s="578"/>
      <c r="C7" s="578"/>
      <c r="D7" s="603"/>
      <c r="E7" s="603"/>
      <c r="F7" s="603"/>
      <c r="G7" s="564" t="s">
        <v>95</v>
      </c>
      <c r="H7" s="577"/>
      <c r="I7" s="577"/>
      <c r="J7" s="577"/>
      <c r="K7" s="577"/>
      <c r="L7" s="577"/>
      <c r="M7" s="577"/>
      <c r="N7" s="577"/>
      <c r="O7" s="565"/>
      <c r="P7" s="558" t="s">
        <v>96</v>
      </c>
      <c r="Q7" s="559"/>
      <c r="R7" s="559"/>
      <c r="S7" s="559"/>
      <c r="T7" s="559"/>
      <c r="U7" s="559"/>
      <c r="V7" s="559"/>
      <c r="W7" s="559"/>
      <c r="X7" s="560"/>
      <c r="Y7" s="562"/>
      <c r="Z7" s="562"/>
      <c r="AA7" s="562"/>
      <c r="AB7" s="562"/>
      <c r="AC7" s="562"/>
      <c r="AD7" s="562"/>
      <c r="AE7" s="562"/>
    </row>
    <row r="8" spans="1:31" ht="21.75" customHeight="1">
      <c r="A8" s="602"/>
      <c r="B8" s="571"/>
      <c r="C8" s="571"/>
      <c r="D8" s="571" t="s">
        <v>2</v>
      </c>
      <c r="E8" s="571" t="s">
        <v>13</v>
      </c>
      <c r="F8" s="571" t="s">
        <v>12</v>
      </c>
      <c r="G8" s="564" t="s">
        <v>89</v>
      </c>
      <c r="H8" s="565"/>
      <c r="I8" s="564" t="s">
        <v>88</v>
      </c>
      <c r="J8" s="565"/>
      <c r="K8" s="564" t="s">
        <v>94</v>
      </c>
      <c r="L8" s="565"/>
      <c r="M8" s="564" t="s">
        <v>90</v>
      </c>
      <c r="N8" s="565"/>
      <c r="O8" s="566" t="s">
        <v>7</v>
      </c>
      <c r="P8" s="558" t="s">
        <v>89</v>
      </c>
      <c r="Q8" s="560"/>
      <c r="R8" s="558" t="s">
        <v>88</v>
      </c>
      <c r="S8" s="560"/>
      <c r="T8" s="558" t="s">
        <v>94</v>
      </c>
      <c r="U8" s="560"/>
      <c r="V8" s="558" t="s">
        <v>90</v>
      </c>
      <c r="W8" s="560"/>
      <c r="X8" s="574" t="s">
        <v>7</v>
      </c>
      <c r="Y8" s="562"/>
      <c r="Z8" s="562"/>
      <c r="AA8" s="562"/>
      <c r="AB8" s="562"/>
      <c r="AC8" s="562"/>
      <c r="AD8" s="562"/>
      <c r="AE8" s="562"/>
    </row>
    <row r="9" spans="1:31" ht="45" customHeight="1">
      <c r="A9" s="601"/>
      <c r="B9" s="578"/>
      <c r="C9" s="578"/>
      <c r="D9" s="605"/>
      <c r="E9" s="605"/>
      <c r="F9" s="605"/>
      <c r="G9" s="152" t="s">
        <v>15</v>
      </c>
      <c r="H9" s="152" t="s">
        <v>16</v>
      </c>
      <c r="I9" s="152" t="s">
        <v>15</v>
      </c>
      <c r="J9" s="152" t="s">
        <v>16</v>
      </c>
      <c r="K9" s="152" t="s">
        <v>15</v>
      </c>
      <c r="L9" s="152" t="s">
        <v>16</v>
      </c>
      <c r="M9" s="152" t="s">
        <v>15</v>
      </c>
      <c r="N9" s="152" t="s">
        <v>16</v>
      </c>
      <c r="O9" s="595"/>
      <c r="P9" s="157" t="s">
        <v>15</v>
      </c>
      <c r="Q9" s="157" t="s">
        <v>16</v>
      </c>
      <c r="R9" s="157" t="s">
        <v>15</v>
      </c>
      <c r="S9" s="157" t="s">
        <v>16</v>
      </c>
      <c r="T9" s="157" t="s">
        <v>15</v>
      </c>
      <c r="U9" s="157" t="s">
        <v>16</v>
      </c>
      <c r="V9" s="157" t="s">
        <v>15</v>
      </c>
      <c r="W9" s="157" t="s">
        <v>16</v>
      </c>
      <c r="X9" s="606"/>
      <c r="Y9" s="604"/>
      <c r="Z9" s="604"/>
      <c r="AA9" s="604"/>
      <c r="AB9" s="604"/>
      <c r="AC9" s="604"/>
      <c r="AD9" s="604"/>
      <c r="AE9" s="604"/>
    </row>
    <row r="10" spans="1:31" ht="15.75">
      <c r="A10" s="50" t="s">
        <v>23</v>
      </c>
      <c r="B10" s="106"/>
      <c r="C10" s="107"/>
      <c r="D10" s="106"/>
      <c r="E10" s="106"/>
      <c r="F10" s="106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9"/>
    </row>
    <row r="11" spans="1:31" ht="21" customHeight="1">
      <c r="A11" s="166">
        <v>2.1</v>
      </c>
      <c r="B11" s="44" t="s">
        <v>35</v>
      </c>
      <c r="C11" s="45" t="str">
        <f>RAZEM!C10</f>
        <v>0912-7LEK-B2.1-Bf</v>
      </c>
      <c r="D11" s="251">
        <v>4</v>
      </c>
      <c r="E11" s="112">
        <v>4</v>
      </c>
      <c r="F11" s="112"/>
      <c r="G11" s="427">
        <v>20</v>
      </c>
      <c r="H11" s="435">
        <v>5</v>
      </c>
      <c r="I11" s="427">
        <v>15</v>
      </c>
      <c r="J11" s="435">
        <v>20</v>
      </c>
      <c r="K11" s="173"/>
      <c r="L11" s="173"/>
      <c r="M11" s="427">
        <v>15</v>
      </c>
      <c r="N11" s="173"/>
      <c r="O11" s="427">
        <v>3</v>
      </c>
      <c r="P11" s="134"/>
      <c r="Q11" s="185"/>
      <c r="R11" s="134"/>
      <c r="S11" s="185"/>
      <c r="T11" s="134"/>
      <c r="U11" s="134"/>
      <c r="V11" s="134"/>
      <c r="W11" s="185"/>
      <c r="X11" s="134"/>
      <c r="Y11" s="48">
        <f>SUM(Z11:AC11)</f>
        <v>50</v>
      </c>
      <c r="Z11" s="48">
        <f>SUM(G11,P11)</f>
        <v>20</v>
      </c>
      <c r="AA11" s="48">
        <f>SUM(I11,R11)</f>
        <v>15</v>
      </c>
      <c r="AB11" s="48">
        <f>SUM(K11,T11)</f>
        <v>0</v>
      </c>
      <c r="AC11" s="48">
        <f>SUM(M11,V11)</f>
        <v>15</v>
      </c>
      <c r="AD11" s="48">
        <f>SUM(G11:N11,P11:W11)</f>
        <v>75</v>
      </c>
      <c r="AE11" s="48">
        <f>SUM(O11,X11)</f>
        <v>3</v>
      </c>
    </row>
    <row r="12" spans="1:31" ht="21.75" customHeight="1">
      <c r="A12" s="166">
        <v>2.4</v>
      </c>
      <c r="B12" s="430" t="s">
        <v>38</v>
      </c>
      <c r="C12" s="45" t="str">
        <f>RAZEM!C13</f>
        <v>0912-7LEK-B2.4-Bch</v>
      </c>
      <c r="D12" s="251">
        <v>3</v>
      </c>
      <c r="E12" s="112">
        <v>3</v>
      </c>
      <c r="F12" s="112"/>
      <c r="G12" s="427">
        <v>25</v>
      </c>
      <c r="H12" s="435">
        <v>55</v>
      </c>
      <c r="I12" s="427"/>
      <c r="J12" s="435"/>
      <c r="K12" s="136"/>
      <c r="L12" s="136"/>
      <c r="M12" s="427">
        <v>20</v>
      </c>
      <c r="N12" s="182"/>
      <c r="O12" s="427">
        <v>4</v>
      </c>
      <c r="P12" s="134"/>
      <c r="Q12" s="185"/>
      <c r="R12" s="134"/>
      <c r="S12" s="185"/>
      <c r="T12" s="134"/>
      <c r="U12" s="134"/>
      <c r="V12" s="134"/>
      <c r="W12" s="185"/>
      <c r="X12" s="134"/>
      <c r="Y12" s="48">
        <f t="shared" ref="Y12:Y13" si="0">SUM(Z12:AC12)</f>
        <v>45</v>
      </c>
      <c r="Z12" s="48">
        <f t="shared" ref="Z12:Z13" si="1">SUM(G12,P12)</f>
        <v>25</v>
      </c>
      <c r="AA12" s="48">
        <f t="shared" ref="AA12:AA13" si="2">SUM(I12,R12)</f>
        <v>0</v>
      </c>
      <c r="AB12" s="48">
        <f>SUM(K12,T12)</f>
        <v>0</v>
      </c>
      <c r="AC12" s="48">
        <f>SUM(M12,V12)</f>
        <v>20</v>
      </c>
      <c r="AD12" s="48">
        <f>SUM(G12:N12,P12:W12)</f>
        <v>100</v>
      </c>
      <c r="AE12" s="48">
        <f>SUM(O12,X12)</f>
        <v>4</v>
      </c>
    </row>
    <row r="13" spans="1:31" ht="24" customHeight="1">
      <c r="A13" s="166">
        <v>2.5</v>
      </c>
      <c r="B13" s="44" t="s">
        <v>39</v>
      </c>
      <c r="C13" s="45" t="str">
        <f>RAZEM!C14</f>
        <v>0912-7LEK-B2.5-FzC</v>
      </c>
      <c r="D13" s="251">
        <v>4</v>
      </c>
      <c r="E13" s="112" t="s">
        <v>267</v>
      </c>
      <c r="F13" s="112"/>
      <c r="G13" s="136">
        <v>25</v>
      </c>
      <c r="H13" s="435">
        <v>25</v>
      </c>
      <c r="I13" s="427">
        <v>30</v>
      </c>
      <c r="J13" s="435">
        <v>75</v>
      </c>
      <c r="K13" s="136"/>
      <c r="L13" s="136"/>
      <c r="M13" s="427">
        <v>20</v>
      </c>
      <c r="N13" s="182"/>
      <c r="O13" s="427">
        <v>7</v>
      </c>
      <c r="P13" s="134">
        <v>25</v>
      </c>
      <c r="Q13" s="185">
        <v>25</v>
      </c>
      <c r="R13" s="426">
        <v>30</v>
      </c>
      <c r="S13" s="477">
        <v>75</v>
      </c>
      <c r="T13" s="134"/>
      <c r="U13" s="134"/>
      <c r="V13" s="426">
        <v>20</v>
      </c>
      <c r="W13" s="185"/>
      <c r="X13" s="134">
        <v>7</v>
      </c>
      <c r="Y13" s="48">
        <f t="shared" si="0"/>
        <v>150</v>
      </c>
      <c r="Z13" s="48">
        <f t="shared" si="1"/>
        <v>50</v>
      </c>
      <c r="AA13" s="48">
        <f t="shared" si="2"/>
        <v>60</v>
      </c>
      <c r="AB13" s="48">
        <f>SUM(K13,T13)</f>
        <v>0</v>
      </c>
      <c r="AC13" s="48">
        <f>SUM(M13,V13)</f>
        <v>40</v>
      </c>
      <c r="AD13" s="48">
        <f>SUM(G13:N13,P13:W13)</f>
        <v>350</v>
      </c>
      <c r="AE13" s="48">
        <f>SUM(O13,X13)</f>
        <v>14</v>
      </c>
    </row>
    <row r="14" spans="1:31" ht="15.75">
      <c r="A14" s="580" t="s">
        <v>9</v>
      </c>
      <c r="B14" s="581"/>
      <c r="C14" s="581"/>
      <c r="D14" s="581"/>
      <c r="E14" s="581"/>
      <c r="F14" s="582"/>
      <c r="G14" s="56">
        <f t="shared" ref="G14:X14" si="3">SUM(G11:G13)</f>
        <v>70</v>
      </c>
      <c r="H14" s="183">
        <f t="shared" si="3"/>
        <v>85</v>
      </c>
      <c r="I14" s="447">
        <f t="shared" si="3"/>
        <v>45</v>
      </c>
      <c r="J14" s="183">
        <f t="shared" si="3"/>
        <v>95</v>
      </c>
      <c r="K14" s="56">
        <f t="shared" si="3"/>
        <v>0</v>
      </c>
      <c r="L14" s="183">
        <f t="shared" si="3"/>
        <v>0</v>
      </c>
      <c r="M14" s="56">
        <f t="shared" si="3"/>
        <v>55</v>
      </c>
      <c r="N14" s="183">
        <f t="shared" si="3"/>
        <v>0</v>
      </c>
      <c r="O14" s="56">
        <f t="shared" si="3"/>
        <v>14</v>
      </c>
      <c r="P14" s="56">
        <f t="shared" si="3"/>
        <v>25</v>
      </c>
      <c r="Q14" s="183">
        <f t="shared" si="3"/>
        <v>25</v>
      </c>
      <c r="R14" s="56">
        <f t="shared" si="3"/>
        <v>30</v>
      </c>
      <c r="S14" s="183">
        <f t="shared" si="3"/>
        <v>75</v>
      </c>
      <c r="T14" s="56">
        <f t="shared" si="3"/>
        <v>0</v>
      </c>
      <c r="U14" s="183">
        <f t="shared" si="3"/>
        <v>0</v>
      </c>
      <c r="V14" s="56">
        <f t="shared" si="3"/>
        <v>20</v>
      </c>
      <c r="W14" s="183">
        <f t="shared" si="3"/>
        <v>0</v>
      </c>
      <c r="X14" s="56">
        <f t="shared" si="3"/>
        <v>7</v>
      </c>
      <c r="Y14" s="56">
        <f t="shared" ref="Y14:AE14" si="4">SUM(Y11:Y13)</f>
        <v>245</v>
      </c>
      <c r="Z14" s="56">
        <f t="shared" si="4"/>
        <v>95</v>
      </c>
      <c r="AA14" s="56">
        <f t="shared" si="4"/>
        <v>75</v>
      </c>
      <c r="AB14" s="56">
        <f t="shared" si="4"/>
        <v>0</v>
      </c>
      <c r="AC14" s="56">
        <f t="shared" si="4"/>
        <v>75</v>
      </c>
      <c r="AD14" s="56">
        <f t="shared" si="4"/>
        <v>525</v>
      </c>
      <c r="AE14" s="56">
        <f t="shared" si="4"/>
        <v>21</v>
      </c>
    </row>
    <row r="15" spans="1:31" ht="15.75">
      <c r="A15" s="50" t="s">
        <v>24</v>
      </c>
      <c r="B15" s="51"/>
      <c r="C15" s="52"/>
      <c r="D15" s="115"/>
      <c r="E15" s="115"/>
      <c r="F15" s="115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4"/>
    </row>
    <row r="16" spans="1:31" ht="21.75" customHeight="1">
      <c r="A16" s="167">
        <v>3.1</v>
      </c>
      <c r="B16" s="44" t="s">
        <v>41</v>
      </c>
      <c r="C16" s="45" t="str">
        <f>RAZEM!C20</f>
        <v>0912-7LEK-C3.1-G</v>
      </c>
      <c r="D16" s="112">
        <v>3</v>
      </c>
      <c r="E16" s="112">
        <v>3</v>
      </c>
      <c r="F16" s="112"/>
      <c r="G16" s="136">
        <v>15</v>
      </c>
      <c r="H16" s="182">
        <v>20</v>
      </c>
      <c r="I16" s="136">
        <v>30</v>
      </c>
      <c r="J16" s="182">
        <v>35</v>
      </c>
      <c r="K16" s="136"/>
      <c r="L16" s="136"/>
      <c r="M16" s="136"/>
      <c r="N16" s="136"/>
      <c r="O16" s="136">
        <v>4</v>
      </c>
      <c r="P16" s="134"/>
      <c r="Q16" s="134"/>
      <c r="R16" s="134"/>
      <c r="S16" s="134"/>
      <c r="T16" s="134"/>
      <c r="U16" s="134"/>
      <c r="V16" s="134"/>
      <c r="W16" s="134"/>
      <c r="X16" s="134"/>
      <c r="Y16" s="48">
        <f>SUM(Z16:AC16)</f>
        <v>45</v>
      </c>
      <c r="Z16" s="48">
        <f>SUM(G16,P16)</f>
        <v>15</v>
      </c>
      <c r="AA16" s="48">
        <f>SUM(I16,R16)</f>
        <v>30</v>
      </c>
      <c r="AB16" s="48">
        <f>SUM(K16,T16)</f>
        <v>0</v>
      </c>
      <c r="AC16" s="48">
        <f>SUM(M16,V16)</f>
        <v>0</v>
      </c>
      <c r="AD16" s="48">
        <f>SUM(G16:N16,P16:W16)</f>
        <v>100</v>
      </c>
      <c r="AE16" s="48">
        <f>SUM(O16,X16)</f>
        <v>4</v>
      </c>
    </row>
    <row r="17" spans="1:31" ht="21.75" customHeight="1">
      <c r="A17" s="166">
        <v>3.2</v>
      </c>
      <c r="B17" s="44" t="s">
        <v>42</v>
      </c>
      <c r="C17" s="45" t="str">
        <f>RAZEM!C21</f>
        <v>0912-7LEK-C3.2-M</v>
      </c>
      <c r="D17" s="112">
        <v>4</v>
      </c>
      <c r="E17" s="112" t="s">
        <v>267</v>
      </c>
      <c r="F17" s="112"/>
      <c r="G17" s="136">
        <v>10</v>
      </c>
      <c r="H17" s="182">
        <v>10</v>
      </c>
      <c r="I17" s="136">
        <v>20</v>
      </c>
      <c r="J17" s="182">
        <v>40</v>
      </c>
      <c r="K17" s="136"/>
      <c r="L17" s="136"/>
      <c r="M17" s="136">
        <v>20</v>
      </c>
      <c r="N17" s="136"/>
      <c r="O17" s="136">
        <v>4</v>
      </c>
      <c r="P17" s="134">
        <v>10</v>
      </c>
      <c r="Q17" s="185">
        <v>10</v>
      </c>
      <c r="R17" s="134">
        <v>20</v>
      </c>
      <c r="S17" s="185">
        <v>40</v>
      </c>
      <c r="T17" s="134"/>
      <c r="U17" s="134"/>
      <c r="V17" s="134">
        <v>20</v>
      </c>
      <c r="W17" s="134"/>
      <c r="X17" s="134">
        <v>4</v>
      </c>
      <c r="Y17" s="48">
        <f t="shared" ref="Y17:Y20" si="5">SUM(Z17:AC17)</f>
        <v>100</v>
      </c>
      <c r="Z17" s="48">
        <f t="shared" ref="Z17:Z20" si="6">SUM(G17,P17)</f>
        <v>20</v>
      </c>
      <c r="AA17" s="48">
        <f t="shared" ref="AA17:AA20" si="7">SUM(I17,R17)</f>
        <v>40</v>
      </c>
      <c r="AB17" s="48">
        <f t="shared" ref="AB17:AB20" si="8">SUM(K17,T17)</f>
        <v>0</v>
      </c>
      <c r="AC17" s="48">
        <f t="shared" ref="AC17:AC20" si="9">SUM(M17,V17)</f>
        <v>40</v>
      </c>
      <c r="AD17" s="48">
        <f t="shared" ref="AD17:AD20" si="10">SUM(G17:N17,P17:W17)</f>
        <v>200</v>
      </c>
      <c r="AE17" s="48">
        <f>SUM(O17,X17)</f>
        <v>8</v>
      </c>
    </row>
    <row r="18" spans="1:31" ht="21.75" customHeight="1">
      <c r="A18" s="167">
        <v>3.3</v>
      </c>
      <c r="B18" s="44" t="s">
        <v>43</v>
      </c>
      <c r="C18" s="45" t="str">
        <f>RAZEM!C22</f>
        <v>0912-7LEK-C3.3-P</v>
      </c>
      <c r="D18" s="112">
        <v>4</v>
      </c>
      <c r="E18" s="112">
        <v>4</v>
      </c>
      <c r="F18" s="112"/>
      <c r="G18" s="136"/>
      <c r="H18" s="182"/>
      <c r="I18" s="136"/>
      <c r="J18" s="182"/>
      <c r="K18" s="136"/>
      <c r="L18" s="136"/>
      <c r="M18" s="136"/>
      <c r="N18" s="136"/>
      <c r="O18" s="136"/>
      <c r="P18" s="134">
        <v>15</v>
      </c>
      <c r="Q18" s="185">
        <v>15</v>
      </c>
      <c r="R18" s="134">
        <v>15</v>
      </c>
      <c r="S18" s="185">
        <v>15</v>
      </c>
      <c r="T18" s="134"/>
      <c r="U18" s="134"/>
      <c r="V18" s="134">
        <v>15</v>
      </c>
      <c r="W18" s="134"/>
      <c r="X18" s="134">
        <v>3</v>
      </c>
      <c r="Y18" s="48">
        <f t="shared" si="5"/>
        <v>45</v>
      </c>
      <c r="Z18" s="48">
        <f t="shared" si="6"/>
        <v>15</v>
      </c>
      <c r="AA18" s="48">
        <f t="shared" si="7"/>
        <v>15</v>
      </c>
      <c r="AB18" s="48">
        <f t="shared" si="8"/>
        <v>0</v>
      </c>
      <c r="AC18" s="48">
        <f t="shared" si="9"/>
        <v>15</v>
      </c>
      <c r="AD18" s="48">
        <f t="shared" si="10"/>
        <v>75</v>
      </c>
      <c r="AE18" s="48">
        <f>SUM(O18,X18)</f>
        <v>3</v>
      </c>
    </row>
    <row r="19" spans="1:31" ht="21.75" customHeight="1">
      <c r="A19" s="166">
        <v>3.4</v>
      </c>
      <c r="B19" s="44" t="s">
        <v>44</v>
      </c>
      <c r="C19" s="45" t="str">
        <f>RAZEM!C23</f>
        <v>0912-7LEK-C3.4-I</v>
      </c>
      <c r="D19" s="112">
        <v>3</v>
      </c>
      <c r="E19" s="112">
        <v>3</v>
      </c>
      <c r="F19" s="112"/>
      <c r="G19" s="136"/>
      <c r="H19" s="182"/>
      <c r="I19" s="136"/>
      <c r="J19" s="182"/>
      <c r="K19" s="136"/>
      <c r="L19" s="136"/>
      <c r="M19" s="136"/>
      <c r="N19" s="136"/>
      <c r="O19" s="136"/>
      <c r="P19" s="134">
        <v>15</v>
      </c>
      <c r="Q19" s="134">
        <v>15</v>
      </c>
      <c r="R19" s="134">
        <v>10</v>
      </c>
      <c r="S19" s="134">
        <v>15</v>
      </c>
      <c r="T19" s="134"/>
      <c r="U19" s="134"/>
      <c r="V19" s="134">
        <v>20</v>
      </c>
      <c r="W19" s="134"/>
      <c r="X19" s="134">
        <v>3</v>
      </c>
      <c r="Y19" s="48">
        <f t="shared" si="5"/>
        <v>45</v>
      </c>
      <c r="Z19" s="48">
        <f t="shared" si="6"/>
        <v>15</v>
      </c>
      <c r="AA19" s="48">
        <f t="shared" si="7"/>
        <v>10</v>
      </c>
      <c r="AB19" s="48">
        <f t="shared" si="8"/>
        <v>0</v>
      </c>
      <c r="AC19" s="48">
        <f t="shared" si="9"/>
        <v>20</v>
      </c>
      <c r="AD19" s="48">
        <f t="shared" si="10"/>
        <v>75</v>
      </c>
      <c r="AE19" s="48">
        <f>SUM(O19,X19)</f>
        <v>3</v>
      </c>
    </row>
    <row r="20" spans="1:31" ht="21.75" customHeight="1">
      <c r="A20" s="167" t="s">
        <v>316</v>
      </c>
      <c r="B20" s="102" t="s">
        <v>130</v>
      </c>
      <c r="C20" s="439" t="s">
        <v>317</v>
      </c>
      <c r="D20" s="429"/>
      <c r="E20" s="429">
        <v>4</v>
      </c>
      <c r="F20" s="429"/>
      <c r="G20" s="136"/>
      <c r="H20" s="182"/>
      <c r="I20" s="136"/>
      <c r="J20" s="182"/>
      <c r="K20" s="136"/>
      <c r="L20" s="136"/>
      <c r="M20" s="136"/>
      <c r="N20" s="136"/>
      <c r="O20" s="136"/>
      <c r="P20" s="134">
        <v>15</v>
      </c>
      <c r="Q20" s="185">
        <v>10</v>
      </c>
      <c r="R20" s="134"/>
      <c r="S20" s="185"/>
      <c r="T20" s="134"/>
      <c r="U20" s="134"/>
      <c r="V20" s="134"/>
      <c r="W20" s="134"/>
      <c r="X20" s="134">
        <v>1</v>
      </c>
      <c r="Y20" s="48">
        <f t="shared" si="5"/>
        <v>15</v>
      </c>
      <c r="Z20" s="48">
        <f t="shared" si="6"/>
        <v>15</v>
      </c>
      <c r="AA20" s="48">
        <f t="shared" si="7"/>
        <v>0</v>
      </c>
      <c r="AB20" s="48">
        <f t="shared" si="8"/>
        <v>0</v>
      </c>
      <c r="AC20" s="48">
        <f t="shared" si="9"/>
        <v>0</v>
      </c>
      <c r="AD20" s="48">
        <f t="shared" si="10"/>
        <v>25</v>
      </c>
      <c r="AE20" s="48">
        <v>1</v>
      </c>
    </row>
    <row r="21" spans="1:31" ht="15.75">
      <c r="A21" s="580" t="s">
        <v>9</v>
      </c>
      <c r="B21" s="581"/>
      <c r="C21" s="581"/>
      <c r="D21" s="581"/>
      <c r="E21" s="581"/>
      <c r="F21" s="582"/>
      <c r="G21" s="56">
        <f t="shared" ref="G21:AE21" si="11">SUM(G16:G20)</f>
        <v>25</v>
      </c>
      <c r="H21" s="183">
        <f t="shared" si="11"/>
        <v>30</v>
      </c>
      <c r="I21" s="56">
        <f t="shared" si="11"/>
        <v>50</v>
      </c>
      <c r="J21" s="183">
        <f t="shared" si="11"/>
        <v>75</v>
      </c>
      <c r="K21" s="56">
        <f t="shared" si="11"/>
        <v>0</v>
      </c>
      <c r="L21" s="183">
        <f t="shared" si="11"/>
        <v>0</v>
      </c>
      <c r="M21" s="56">
        <f t="shared" si="11"/>
        <v>20</v>
      </c>
      <c r="N21" s="56">
        <f t="shared" si="11"/>
        <v>0</v>
      </c>
      <c r="O21" s="56">
        <f t="shared" si="11"/>
        <v>8</v>
      </c>
      <c r="P21" s="56">
        <f t="shared" si="11"/>
        <v>55</v>
      </c>
      <c r="Q21" s="183">
        <f t="shared" si="11"/>
        <v>50</v>
      </c>
      <c r="R21" s="56">
        <f t="shared" si="11"/>
        <v>45</v>
      </c>
      <c r="S21" s="183">
        <f t="shared" si="11"/>
        <v>70</v>
      </c>
      <c r="T21" s="56">
        <f t="shared" si="11"/>
        <v>0</v>
      </c>
      <c r="U21" s="183">
        <f t="shared" si="11"/>
        <v>0</v>
      </c>
      <c r="V21" s="56">
        <f t="shared" si="11"/>
        <v>55</v>
      </c>
      <c r="W21" s="56">
        <f t="shared" si="11"/>
        <v>0</v>
      </c>
      <c r="X21" s="56">
        <f t="shared" si="11"/>
        <v>11</v>
      </c>
      <c r="Y21" s="56">
        <f t="shared" si="11"/>
        <v>250</v>
      </c>
      <c r="Z21" s="56">
        <f t="shared" si="11"/>
        <v>80</v>
      </c>
      <c r="AA21" s="56">
        <f t="shared" si="11"/>
        <v>95</v>
      </c>
      <c r="AB21" s="56">
        <f t="shared" si="11"/>
        <v>0</v>
      </c>
      <c r="AC21" s="56">
        <f t="shared" si="11"/>
        <v>75</v>
      </c>
      <c r="AD21" s="56">
        <f t="shared" si="11"/>
        <v>475</v>
      </c>
      <c r="AE21" s="56">
        <f t="shared" si="11"/>
        <v>19</v>
      </c>
    </row>
    <row r="22" spans="1:31" ht="15.75">
      <c r="A22" s="616" t="s">
        <v>34</v>
      </c>
      <c r="B22" s="617"/>
      <c r="C22" s="617"/>
      <c r="D22" s="617"/>
      <c r="E22" s="617"/>
      <c r="F22" s="617"/>
      <c r="G22" s="617"/>
      <c r="H22" s="617"/>
      <c r="I22" s="617"/>
      <c r="J22" s="617"/>
      <c r="K22" s="617"/>
      <c r="L22" s="617"/>
      <c r="M22" s="617"/>
      <c r="N22" s="617"/>
      <c r="O22" s="617"/>
      <c r="P22" s="617"/>
      <c r="Q22" s="617"/>
      <c r="R22" s="617"/>
      <c r="S22" s="617"/>
      <c r="T22" s="617"/>
      <c r="U22" s="617"/>
      <c r="V22" s="617"/>
      <c r="W22" s="617"/>
      <c r="X22" s="617"/>
      <c r="Y22" s="617"/>
      <c r="Z22" s="617"/>
      <c r="AA22" s="617"/>
      <c r="AB22" s="617"/>
      <c r="AC22" s="617"/>
      <c r="AD22" s="617"/>
      <c r="AE22" s="618"/>
    </row>
    <row r="23" spans="1:31" ht="23.25" customHeight="1">
      <c r="A23" s="432" t="s">
        <v>334</v>
      </c>
      <c r="B23" s="44" t="s">
        <v>17</v>
      </c>
      <c r="C23" s="45" t="s">
        <v>320</v>
      </c>
      <c r="D23" s="182">
        <v>4</v>
      </c>
      <c r="E23" s="136" t="s">
        <v>239</v>
      </c>
      <c r="F23" s="182"/>
      <c r="G23" s="136"/>
      <c r="H23" s="136"/>
      <c r="I23" s="136">
        <v>30</v>
      </c>
      <c r="J23" s="449">
        <v>15</v>
      </c>
      <c r="K23" s="136"/>
      <c r="L23" s="136"/>
      <c r="M23" s="182"/>
      <c r="N23" s="136"/>
      <c r="O23" s="427">
        <v>1.5</v>
      </c>
      <c r="P23" s="134"/>
      <c r="Q23" s="134"/>
      <c r="R23" s="134">
        <v>30</v>
      </c>
      <c r="S23" s="477">
        <v>15</v>
      </c>
      <c r="T23" s="134"/>
      <c r="U23" s="134"/>
      <c r="V23" s="134"/>
      <c r="W23" s="134"/>
      <c r="X23" s="134">
        <v>1.5</v>
      </c>
      <c r="Y23" s="136">
        <f>SUM(Z23:AC23)</f>
        <v>60</v>
      </c>
      <c r="Z23" s="136">
        <f>SUM(G23,P23)</f>
        <v>0</v>
      </c>
      <c r="AA23" s="136">
        <f>SUM(I23,R23)</f>
        <v>60</v>
      </c>
      <c r="AB23" s="136">
        <f>SUM(K23,T23)</f>
        <v>0</v>
      </c>
      <c r="AC23" s="136">
        <f>SUM(M23,V23)</f>
        <v>0</v>
      </c>
      <c r="AD23" s="136">
        <f>SUM(G23:N23,P23:W23)</f>
        <v>90</v>
      </c>
      <c r="AE23" s="427">
        <f>O23+X23</f>
        <v>3</v>
      </c>
    </row>
    <row r="24" spans="1:31" ht="29.25" customHeight="1">
      <c r="A24" s="431">
        <v>4.7</v>
      </c>
      <c r="B24" s="44" t="s">
        <v>335</v>
      </c>
      <c r="C24" s="45" t="s">
        <v>333</v>
      </c>
      <c r="D24" s="182"/>
      <c r="E24" s="136">
        <v>4</v>
      </c>
      <c r="F24" s="182"/>
      <c r="G24" s="136"/>
      <c r="H24" s="136"/>
      <c r="I24" s="136"/>
      <c r="J24" s="136"/>
      <c r="K24" s="136"/>
      <c r="L24" s="136"/>
      <c r="M24" s="182"/>
      <c r="N24" s="136"/>
      <c r="O24" s="182"/>
      <c r="P24" s="134">
        <v>20</v>
      </c>
      <c r="Q24" s="477">
        <v>5</v>
      </c>
      <c r="R24" s="134">
        <v>10</v>
      </c>
      <c r="S24" s="477">
        <v>15</v>
      </c>
      <c r="T24" s="134"/>
      <c r="U24" s="134"/>
      <c r="V24" s="134"/>
      <c r="W24" s="134"/>
      <c r="X24" s="134">
        <v>2</v>
      </c>
      <c r="Y24" s="136">
        <f>SUM(Z24:AC24)</f>
        <v>30</v>
      </c>
      <c r="Z24" s="136">
        <f>SUM(G24,P24)</f>
        <v>20</v>
      </c>
      <c r="AA24" s="136">
        <f>SUM(I24,R24)</f>
        <v>10</v>
      </c>
      <c r="AB24" s="136">
        <f>SUM(K24,T24)</f>
        <v>0</v>
      </c>
      <c r="AC24" s="136">
        <f>SUM(M24,V24)</f>
        <v>0</v>
      </c>
      <c r="AD24" s="136">
        <f>SUM(G24:N24,P24:W24)</f>
        <v>50</v>
      </c>
      <c r="AE24" s="427">
        <f>O24+X24</f>
        <v>2</v>
      </c>
    </row>
    <row r="25" spans="1:31" ht="15.75" customHeight="1">
      <c r="A25" s="613" t="s">
        <v>9</v>
      </c>
      <c r="B25" s="614"/>
      <c r="C25" s="614"/>
      <c r="D25" s="614"/>
      <c r="E25" s="614"/>
      <c r="F25" s="615"/>
      <c r="G25" s="423">
        <f t="shared" ref="G25:AE25" si="12">SUM(G23:G24)</f>
        <v>0</v>
      </c>
      <c r="H25" s="423">
        <f t="shared" si="12"/>
        <v>0</v>
      </c>
      <c r="I25" s="423">
        <f t="shared" si="12"/>
        <v>30</v>
      </c>
      <c r="J25" s="423">
        <f t="shared" si="12"/>
        <v>15</v>
      </c>
      <c r="K25" s="423">
        <f t="shared" si="12"/>
        <v>0</v>
      </c>
      <c r="L25" s="423">
        <f t="shared" si="12"/>
        <v>0</v>
      </c>
      <c r="M25" s="423">
        <f t="shared" si="12"/>
        <v>0</v>
      </c>
      <c r="N25" s="423">
        <f t="shared" si="12"/>
        <v>0</v>
      </c>
      <c r="O25" s="424">
        <f t="shared" si="12"/>
        <v>1.5</v>
      </c>
      <c r="P25" s="424">
        <f t="shared" si="12"/>
        <v>20</v>
      </c>
      <c r="Q25" s="424">
        <f t="shared" si="12"/>
        <v>5</v>
      </c>
      <c r="R25" s="424">
        <f t="shared" si="12"/>
        <v>40</v>
      </c>
      <c r="S25" s="424">
        <f t="shared" si="12"/>
        <v>30</v>
      </c>
      <c r="T25" s="424">
        <f t="shared" si="12"/>
        <v>0</v>
      </c>
      <c r="U25" s="424">
        <f t="shared" si="12"/>
        <v>0</v>
      </c>
      <c r="V25" s="424">
        <f t="shared" si="12"/>
        <v>0</v>
      </c>
      <c r="W25" s="424">
        <f t="shared" si="12"/>
        <v>0</v>
      </c>
      <c r="X25" s="424">
        <f t="shared" si="12"/>
        <v>3.5</v>
      </c>
      <c r="Y25" s="425">
        <f t="shared" si="12"/>
        <v>90</v>
      </c>
      <c r="Z25" s="425">
        <f t="shared" si="12"/>
        <v>20</v>
      </c>
      <c r="AA25" s="425">
        <f t="shared" si="12"/>
        <v>70</v>
      </c>
      <c r="AB25" s="425">
        <f t="shared" si="12"/>
        <v>0</v>
      </c>
      <c r="AC25" s="425">
        <f t="shared" si="12"/>
        <v>0</v>
      </c>
      <c r="AD25" s="425">
        <f t="shared" si="12"/>
        <v>140</v>
      </c>
      <c r="AE25" s="425">
        <f t="shared" si="12"/>
        <v>5</v>
      </c>
    </row>
    <row r="26" spans="1:31" ht="15.75">
      <c r="A26" s="50" t="s">
        <v>27</v>
      </c>
      <c r="B26" s="51"/>
      <c r="C26" s="52"/>
      <c r="D26" s="115"/>
      <c r="E26" s="115"/>
      <c r="F26" s="115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4"/>
    </row>
    <row r="27" spans="1:31" ht="22.5" customHeight="1">
      <c r="A27" s="165">
        <v>7.1</v>
      </c>
      <c r="B27" s="433" t="s">
        <v>75</v>
      </c>
      <c r="C27" s="118" t="str">
        <f>RAZEM!C64</f>
        <v>0912-7LEK-C7.1-H</v>
      </c>
      <c r="D27" s="117"/>
      <c r="E27" s="117">
        <v>3</v>
      </c>
      <c r="F27" s="117"/>
      <c r="G27" s="136">
        <v>15</v>
      </c>
      <c r="H27" s="182">
        <v>10</v>
      </c>
      <c r="I27" s="136"/>
      <c r="J27" s="136"/>
      <c r="K27" s="136"/>
      <c r="L27" s="136"/>
      <c r="M27" s="136"/>
      <c r="N27" s="136"/>
      <c r="O27" s="136">
        <v>1</v>
      </c>
      <c r="P27" s="134"/>
      <c r="Q27" s="185"/>
      <c r="R27" s="134"/>
      <c r="S27" s="134"/>
      <c r="T27" s="134"/>
      <c r="U27" s="134"/>
      <c r="V27" s="134"/>
      <c r="W27" s="134"/>
      <c r="X27" s="134"/>
      <c r="Y27" s="48">
        <f>SUM(Z27:AC27)</f>
        <v>15</v>
      </c>
      <c r="Z27" s="48">
        <f>SUM(G27,P27)</f>
        <v>15</v>
      </c>
      <c r="AA27" s="48">
        <f>SUM(I27,R27)</f>
        <v>0</v>
      </c>
      <c r="AB27" s="48">
        <f>SUM(K27,T27)</f>
        <v>0</v>
      </c>
      <c r="AC27" s="48">
        <f>SUM(M27,V27)</f>
        <v>0</v>
      </c>
      <c r="AD27" s="48">
        <f>SUM(G27:N27,P27:W27)</f>
        <v>25</v>
      </c>
      <c r="AE27" s="48">
        <f>SUM(O27,X27)</f>
        <v>1</v>
      </c>
    </row>
    <row r="28" spans="1:31" ht="22.5" customHeight="1">
      <c r="A28" s="165">
        <v>7.2</v>
      </c>
      <c r="B28" s="433" t="s">
        <v>76</v>
      </c>
      <c r="C28" s="118" t="str">
        <f>RAZEM!C65</f>
        <v>0912-7LEK-C7.2-E</v>
      </c>
      <c r="D28" s="117"/>
      <c r="E28" s="117">
        <v>3</v>
      </c>
      <c r="F28" s="117"/>
      <c r="G28" s="136">
        <v>15</v>
      </c>
      <c r="H28" s="182">
        <v>10</v>
      </c>
      <c r="I28" s="136"/>
      <c r="J28" s="136"/>
      <c r="K28" s="136"/>
      <c r="L28" s="136"/>
      <c r="M28" s="136"/>
      <c r="N28" s="136"/>
      <c r="O28" s="136">
        <v>1</v>
      </c>
      <c r="P28" s="134"/>
      <c r="Q28" s="185"/>
      <c r="R28" s="134"/>
      <c r="S28" s="134"/>
      <c r="T28" s="134"/>
      <c r="U28" s="134"/>
      <c r="V28" s="134"/>
      <c r="W28" s="134"/>
      <c r="X28" s="134"/>
      <c r="Y28" s="48">
        <f t="shared" ref="Y28:Y29" si="13">SUM(Z28:AC28)</f>
        <v>15</v>
      </c>
      <c r="Z28" s="48">
        <f t="shared" ref="Z28:Z29" si="14">SUM(G28,P28)</f>
        <v>15</v>
      </c>
      <c r="AA28" s="48">
        <f t="shared" ref="AA28:AA29" si="15">SUM(I28,R28)</f>
        <v>0</v>
      </c>
      <c r="AB28" s="48">
        <f t="shared" ref="AB28:AB29" si="16">SUM(K28,T28)</f>
        <v>0</v>
      </c>
      <c r="AC28" s="48">
        <f>SUM(M28,V28)</f>
        <v>0</v>
      </c>
      <c r="AD28" s="48">
        <f>SUM(G28:N28,P28:W28)</f>
        <v>25</v>
      </c>
      <c r="AE28" s="48">
        <f>SUM(O28,X28)</f>
        <v>1</v>
      </c>
    </row>
    <row r="29" spans="1:31" ht="22.5" customHeight="1">
      <c r="A29" s="168">
        <v>7.3</v>
      </c>
      <c r="B29" s="433" t="s">
        <v>77</v>
      </c>
      <c r="C29" s="118" t="str">
        <f>RAZEM!C66</f>
        <v>0912-7LEK-C7.3-Z</v>
      </c>
      <c r="D29" s="119"/>
      <c r="E29" s="119">
        <v>4</v>
      </c>
      <c r="F29" s="119"/>
      <c r="G29" s="153"/>
      <c r="H29" s="184"/>
      <c r="I29" s="153"/>
      <c r="J29" s="153"/>
      <c r="K29" s="153"/>
      <c r="L29" s="153"/>
      <c r="M29" s="153"/>
      <c r="N29" s="153"/>
      <c r="O29" s="153"/>
      <c r="P29" s="134">
        <v>15</v>
      </c>
      <c r="Q29" s="185">
        <v>10</v>
      </c>
      <c r="R29" s="134"/>
      <c r="S29" s="134"/>
      <c r="T29" s="134"/>
      <c r="U29" s="134"/>
      <c r="V29" s="134"/>
      <c r="W29" s="134"/>
      <c r="X29" s="134">
        <v>1</v>
      </c>
      <c r="Y29" s="48">
        <f t="shared" si="13"/>
        <v>15</v>
      </c>
      <c r="Z29" s="48">
        <f t="shared" si="14"/>
        <v>15</v>
      </c>
      <c r="AA29" s="48">
        <f t="shared" si="15"/>
        <v>0</v>
      </c>
      <c r="AB29" s="48">
        <f t="shared" si="16"/>
        <v>0</v>
      </c>
      <c r="AC29" s="48">
        <f>SUM(M29,V29)</f>
        <v>0</v>
      </c>
      <c r="AD29" s="48">
        <f>SUM(G29:N29,P29:W29)</f>
        <v>25</v>
      </c>
      <c r="AE29" s="48">
        <f>SUM(O29,X29)</f>
        <v>1</v>
      </c>
    </row>
    <row r="30" spans="1:31" ht="15.75">
      <c r="A30" s="580" t="s">
        <v>9</v>
      </c>
      <c r="B30" s="581"/>
      <c r="C30" s="581"/>
      <c r="D30" s="581"/>
      <c r="E30" s="581"/>
      <c r="F30" s="582"/>
      <c r="G30" s="56">
        <f>SUM(G27:G29)</f>
        <v>30</v>
      </c>
      <c r="H30" s="183">
        <f t="shared" ref="H30:X30" si="17">SUM(H27:H29)</f>
        <v>20</v>
      </c>
      <c r="I30" s="56">
        <f t="shared" si="17"/>
        <v>0</v>
      </c>
      <c r="J30" s="56">
        <f t="shared" si="17"/>
        <v>0</v>
      </c>
      <c r="K30" s="56">
        <f t="shared" si="17"/>
        <v>0</v>
      </c>
      <c r="L30" s="56">
        <f t="shared" si="17"/>
        <v>0</v>
      </c>
      <c r="M30" s="56">
        <f t="shared" si="17"/>
        <v>0</v>
      </c>
      <c r="N30" s="56">
        <f t="shared" si="17"/>
        <v>0</v>
      </c>
      <c r="O30" s="56">
        <f t="shared" si="17"/>
        <v>2</v>
      </c>
      <c r="P30" s="56">
        <f t="shared" si="17"/>
        <v>15</v>
      </c>
      <c r="Q30" s="183">
        <f t="shared" si="17"/>
        <v>10</v>
      </c>
      <c r="R30" s="56">
        <f t="shared" si="17"/>
        <v>0</v>
      </c>
      <c r="S30" s="183">
        <f t="shared" si="17"/>
        <v>0</v>
      </c>
      <c r="T30" s="56">
        <f t="shared" si="17"/>
        <v>0</v>
      </c>
      <c r="U30" s="183">
        <f t="shared" si="17"/>
        <v>0</v>
      </c>
      <c r="V30" s="56">
        <f t="shared" si="17"/>
        <v>0</v>
      </c>
      <c r="W30" s="183">
        <f t="shared" si="17"/>
        <v>0</v>
      </c>
      <c r="X30" s="56">
        <f t="shared" si="17"/>
        <v>1</v>
      </c>
      <c r="Y30" s="56">
        <f>SUM(Y27:Y29)</f>
        <v>45</v>
      </c>
      <c r="Z30" s="56">
        <f t="shared" ref="Z30:AE30" si="18">SUM(Z27:Z29)</f>
        <v>45</v>
      </c>
      <c r="AA30" s="56">
        <f t="shared" si="18"/>
        <v>0</v>
      </c>
      <c r="AB30" s="56">
        <f t="shared" si="18"/>
        <v>0</v>
      </c>
      <c r="AC30" s="56">
        <f t="shared" si="18"/>
        <v>0</v>
      </c>
      <c r="AD30" s="56">
        <f t="shared" si="18"/>
        <v>75</v>
      </c>
      <c r="AE30" s="56">
        <f t="shared" si="18"/>
        <v>3</v>
      </c>
    </row>
    <row r="31" spans="1:31" ht="20.25" customHeight="1">
      <c r="A31" s="50" t="s">
        <v>271</v>
      </c>
      <c r="B31" s="51"/>
      <c r="C31" s="52"/>
      <c r="D31" s="115"/>
      <c r="E31" s="115"/>
      <c r="F31" s="115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4"/>
    </row>
    <row r="32" spans="1:31" ht="20.25" customHeight="1">
      <c r="A32" s="165" t="s">
        <v>318</v>
      </c>
      <c r="B32" s="176" t="s">
        <v>236</v>
      </c>
      <c r="C32" s="45" t="str">
        <f>"0912-7LEK-C"&amp;A32&amp;"-"&amp;UPPER(LEFT(B32,1))&amp;"O"</f>
        <v>0912-7LEK-C8,1-LO</v>
      </c>
      <c r="D32" s="112"/>
      <c r="E32" s="112">
        <v>4</v>
      </c>
      <c r="F32" s="112"/>
      <c r="G32" s="136"/>
      <c r="H32" s="136"/>
      <c r="I32" s="136"/>
      <c r="J32" s="136"/>
      <c r="K32" s="136"/>
      <c r="L32" s="136"/>
      <c r="M32" s="136"/>
      <c r="N32" s="136"/>
      <c r="O32" s="136"/>
      <c r="P32" s="134"/>
      <c r="Q32" s="134"/>
      <c r="R32" s="134">
        <v>90</v>
      </c>
      <c r="S32" s="134"/>
      <c r="T32" s="134"/>
      <c r="U32" s="134"/>
      <c r="V32" s="134"/>
      <c r="W32" s="134"/>
      <c r="X32" s="134">
        <v>3</v>
      </c>
      <c r="Y32" s="48">
        <f>SUM(Z32:AC32)</f>
        <v>90</v>
      </c>
      <c r="Z32" s="48">
        <f>SUM(G32,P32)</f>
        <v>0</v>
      </c>
      <c r="AA32" s="48">
        <f>SUM(I32,R32)</f>
        <v>90</v>
      </c>
      <c r="AB32" s="48">
        <f>SUM(K32,T32)</f>
        <v>0</v>
      </c>
      <c r="AC32" s="48">
        <f>SUM(M32,V32)</f>
        <v>0</v>
      </c>
      <c r="AD32" s="48">
        <f>SUM(G32:N32,P32:W32)</f>
        <v>90</v>
      </c>
      <c r="AE32" s="48">
        <f>SUM(O32,X32)</f>
        <v>3</v>
      </c>
    </row>
    <row r="33" spans="1:31" ht="20.25" customHeight="1">
      <c r="A33" s="165" t="s">
        <v>319</v>
      </c>
      <c r="B33" s="176" t="s">
        <v>85</v>
      </c>
      <c r="C33" s="45" t="str">
        <f>"0912-7LEK-C"&amp;A33&amp;"-"&amp;UPPER(LEFT(B33,1))&amp;"D"</f>
        <v>0912-7LEK-C8,2-PD</v>
      </c>
      <c r="D33" s="112"/>
      <c r="E33" s="112">
        <v>4</v>
      </c>
      <c r="F33" s="112"/>
      <c r="G33" s="136"/>
      <c r="H33" s="136"/>
      <c r="I33" s="136"/>
      <c r="J33" s="136"/>
      <c r="K33" s="136"/>
      <c r="L33" s="136"/>
      <c r="M33" s="136"/>
      <c r="N33" s="136"/>
      <c r="O33" s="136"/>
      <c r="P33" s="134"/>
      <c r="Q33" s="134"/>
      <c r="R33" s="134">
        <v>30</v>
      </c>
      <c r="S33" s="134"/>
      <c r="T33" s="134"/>
      <c r="U33" s="134"/>
      <c r="V33" s="134"/>
      <c r="W33" s="134"/>
      <c r="X33" s="134">
        <v>1</v>
      </c>
      <c r="Y33" s="48">
        <f>SUM(Z33:AC33)</f>
        <v>30</v>
      </c>
      <c r="Z33" s="48">
        <f>SUM(G33,P33)</f>
        <v>0</v>
      </c>
      <c r="AA33" s="48">
        <f>SUM(I33,R33)</f>
        <v>30</v>
      </c>
      <c r="AB33" s="48">
        <f>SUM(K33,T33)</f>
        <v>0</v>
      </c>
      <c r="AC33" s="48">
        <f>SUM(M33,V33)</f>
        <v>0</v>
      </c>
      <c r="AD33" s="48">
        <f>SUM(G33:N33,P33:W33)</f>
        <v>30</v>
      </c>
      <c r="AE33" s="48">
        <f>SUM(O33,X33)</f>
        <v>1</v>
      </c>
    </row>
    <row r="34" spans="1:31" ht="15.75">
      <c r="A34" s="580" t="s">
        <v>9</v>
      </c>
      <c r="B34" s="581"/>
      <c r="C34" s="581"/>
      <c r="D34" s="581"/>
      <c r="E34" s="581"/>
      <c r="F34" s="582"/>
      <c r="G34" s="56">
        <f t="shared" ref="G34:X34" si="19">SUM(G32:G33)</f>
        <v>0</v>
      </c>
      <c r="H34" s="183">
        <f t="shared" si="19"/>
        <v>0</v>
      </c>
      <c r="I34" s="56">
        <f t="shared" si="19"/>
        <v>0</v>
      </c>
      <c r="J34" s="183">
        <f t="shared" si="19"/>
        <v>0</v>
      </c>
      <c r="K34" s="56">
        <f t="shared" si="19"/>
        <v>0</v>
      </c>
      <c r="L34" s="183">
        <f t="shared" si="19"/>
        <v>0</v>
      </c>
      <c r="M34" s="56">
        <f t="shared" si="19"/>
        <v>0</v>
      </c>
      <c r="N34" s="183">
        <f t="shared" si="19"/>
        <v>0</v>
      </c>
      <c r="O34" s="56">
        <f t="shared" si="19"/>
        <v>0</v>
      </c>
      <c r="P34" s="56">
        <f t="shared" si="19"/>
        <v>0</v>
      </c>
      <c r="Q34" s="183">
        <f t="shared" si="19"/>
        <v>0</v>
      </c>
      <c r="R34" s="56">
        <f t="shared" si="19"/>
        <v>120</v>
      </c>
      <c r="S34" s="183">
        <f t="shared" si="19"/>
        <v>0</v>
      </c>
      <c r="T34" s="56">
        <f t="shared" si="19"/>
        <v>0</v>
      </c>
      <c r="U34" s="183">
        <f t="shared" si="19"/>
        <v>0</v>
      </c>
      <c r="V34" s="56">
        <f t="shared" si="19"/>
        <v>0</v>
      </c>
      <c r="W34" s="183">
        <f t="shared" si="19"/>
        <v>0</v>
      </c>
      <c r="X34" s="56">
        <f t="shared" si="19"/>
        <v>4</v>
      </c>
      <c r="Y34" s="56">
        <f t="shared" ref="Y34:AE34" si="20">SUM(Y32:Y33)</f>
        <v>120</v>
      </c>
      <c r="Z34" s="56">
        <f t="shared" si="20"/>
        <v>0</v>
      </c>
      <c r="AA34" s="56">
        <f t="shared" si="20"/>
        <v>120</v>
      </c>
      <c r="AB34" s="56">
        <f t="shared" si="20"/>
        <v>0</v>
      </c>
      <c r="AC34" s="56">
        <f t="shared" si="20"/>
        <v>0</v>
      </c>
      <c r="AD34" s="56">
        <f t="shared" si="20"/>
        <v>120</v>
      </c>
      <c r="AE34" s="56">
        <f t="shared" si="20"/>
        <v>4</v>
      </c>
    </row>
    <row r="35" spans="1:31" ht="15.75">
      <c r="A35" s="50" t="s">
        <v>311</v>
      </c>
      <c r="B35" s="51"/>
      <c r="C35" s="52"/>
      <c r="D35" s="115"/>
      <c r="E35" s="115"/>
      <c r="F35" s="115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4"/>
    </row>
    <row r="36" spans="1:31" ht="22.5" customHeight="1">
      <c r="A36" s="169" t="s">
        <v>327</v>
      </c>
      <c r="B36" s="58" t="s">
        <v>109</v>
      </c>
      <c r="C36" s="45" t="s">
        <v>326</v>
      </c>
      <c r="D36" s="123"/>
      <c r="E36" s="124"/>
      <c r="F36" s="167" t="s">
        <v>123</v>
      </c>
      <c r="G36" s="136"/>
      <c r="H36" s="136"/>
      <c r="I36" s="136">
        <v>15</v>
      </c>
      <c r="J36" s="182"/>
      <c r="K36" s="136"/>
      <c r="L36" s="136"/>
      <c r="M36" s="136"/>
      <c r="N36" s="182"/>
      <c r="O36" s="136">
        <v>0</v>
      </c>
      <c r="P36" s="134"/>
      <c r="Q36" s="134"/>
      <c r="R36" s="134">
        <v>15</v>
      </c>
      <c r="S36" s="185"/>
      <c r="T36" s="134"/>
      <c r="U36" s="134"/>
      <c r="V36" s="134"/>
      <c r="W36" s="134"/>
      <c r="X36" s="134">
        <v>0</v>
      </c>
      <c r="Y36" s="113">
        <f>SUM(Z36:AC36)</f>
        <v>30</v>
      </c>
      <c r="Z36" s="113">
        <f>SUM(G36,P36)</f>
        <v>0</v>
      </c>
      <c r="AA36" s="113">
        <f>SUM(I36,R36)</f>
        <v>30</v>
      </c>
      <c r="AB36" s="113">
        <f>SUM(K36,T36)</f>
        <v>0</v>
      </c>
      <c r="AC36" s="113">
        <f>SUM(M36,V36)</f>
        <v>0</v>
      </c>
      <c r="AD36" s="113">
        <f>SUM(G36:N36,P36:W36)</f>
        <v>30</v>
      </c>
      <c r="AE36" s="113">
        <f>SUM(O36,X36)</f>
        <v>0</v>
      </c>
    </row>
    <row r="37" spans="1:31" ht="18" customHeight="1">
      <c r="A37" s="607" t="s">
        <v>328</v>
      </c>
      <c r="B37" s="609" t="s">
        <v>122</v>
      </c>
      <c r="C37" s="610"/>
      <c r="D37" s="121"/>
      <c r="E37" s="122">
        <v>3</v>
      </c>
      <c r="F37" s="121"/>
      <c r="G37" s="155"/>
      <c r="H37" s="154"/>
      <c r="I37" s="478">
        <v>25</v>
      </c>
      <c r="J37" s="480">
        <v>25</v>
      </c>
      <c r="K37" s="154"/>
      <c r="L37" s="154"/>
      <c r="M37" s="154"/>
      <c r="N37" s="186"/>
      <c r="O37" s="154">
        <v>2</v>
      </c>
      <c r="P37" s="158"/>
      <c r="Q37" s="158"/>
      <c r="R37" s="158"/>
      <c r="S37" s="187"/>
      <c r="T37" s="158"/>
      <c r="U37" s="158"/>
      <c r="V37" s="158"/>
      <c r="W37" s="158"/>
      <c r="X37" s="158"/>
      <c r="Y37" s="113">
        <f t="shared" ref="Y37:Y38" si="21">SUM(Z37:AC37)</f>
        <v>25</v>
      </c>
      <c r="Z37" s="113">
        <f t="shared" ref="Z37:Z38" si="22">SUM(G37,P37)</f>
        <v>0</v>
      </c>
      <c r="AA37" s="113">
        <f t="shared" ref="AA37:AA38" si="23">SUM(I37,R37)</f>
        <v>25</v>
      </c>
      <c r="AB37" s="113">
        <f t="shared" ref="AB37:AB38" si="24">SUM(K37,T37)</f>
        <v>0</v>
      </c>
      <c r="AC37" s="113">
        <f>SUM(M37,V37)</f>
        <v>0</v>
      </c>
      <c r="AD37" s="113">
        <f>SUM(G37:N37,P37:W37)</f>
        <v>50</v>
      </c>
      <c r="AE37" s="113">
        <f>SUM(O37,X37)</f>
        <v>2</v>
      </c>
    </row>
    <row r="38" spans="1:31" ht="15.75">
      <c r="A38" s="608"/>
      <c r="B38" s="611"/>
      <c r="C38" s="612"/>
      <c r="D38" s="121"/>
      <c r="E38" s="122">
        <v>4</v>
      </c>
      <c r="F38" s="121"/>
      <c r="G38" s="155"/>
      <c r="H38" s="154"/>
      <c r="I38" s="154"/>
      <c r="J38" s="186"/>
      <c r="K38" s="154"/>
      <c r="L38" s="154"/>
      <c r="M38" s="154"/>
      <c r="N38" s="186"/>
      <c r="O38" s="154"/>
      <c r="P38" s="158"/>
      <c r="Q38" s="158"/>
      <c r="R38" s="479">
        <v>25</v>
      </c>
      <c r="S38" s="481">
        <v>25</v>
      </c>
      <c r="T38" s="158"/>
      <c r="U38" s="158"/>
      <c r="V38" s="158"/>
      <c r="W38" s="158"/>
      <c r="X38" s="158">
        <v>2</v>
      </c>
      <c r="Y38" s="113">
        <f t="shared" si="21"/>
        <v>25</v>
      </c>
      <c r="Z38" s="113">
        <f t="shared" si="22"/>
        <v>0</v>
      </c>
      <c r="AA38" s="113">
        <f t="shared" si="23"/>
        <v>25</v>
      </c>
      <c r="AB38" s="113">
        <f t="shared" si="24"/>
        <v>0</v>
      </c>
      <c r="AC38" s="113">
        <f>SUM(M38,V38)</f>
        <v>0</v>
      </c>
      <c r="AD38" s="113">
        <f>SUM(G38:N38,P38:W38)</f>
        <v>50</v>
      </c>
      <c r="AE38" s="113">
        <f>SUM(O38,X38)</f>
        <v>2</v>
      </c>
    </row>
    <row r="39" spans="1:31" ht="15.75">
      <c r="A39" s="580" t="s">
        <v>9</v>
      </c>
      <c r="B39" s="581"/>
      <c r="C39" s="581"/>
      <c r="D39" s="581"/>
      <c r="E39" s="581"/>
      <c r="F39" s="582"/>
      <c r="G39" s="56">
        <f t="shared" ref="G39:AE39" si="25">SUM(G36:G38)</f>
        <v>0</v>
      </c>
      <c r="H39" s="183">
        <f t="shared" si="25"/>
        <v>0</v>
      </c>
      <c r="I39" s="56">
        <f t="shared" si="25"/>
        <v>40</v>
      </c>
      <c r="J39" s="183">
        <f t="shared" si="25"/>
        <v>25</v>
      </c>
      <c r="K39" s="56">
        <f t="shared" si="25"/>
        <v>0</v>
      </c>
      <c r="L39" s="183">
        <f t="shared" si="25"/>
        <v>0</v>
      </c>
      <c r="M39" s="56">
        <f t="shared" si="25"/>
        <v>0</v>
      </c>
      <c r="N39" s="183">
        <f t="shared" si="25"/>
        <v>0</v>
      </c>
      <c r="O39" s="56">
        <f t="shared" si="25"/>
        <v>2</v>
      </c>
      <c r="P39" s="56">
        <f t="shared" si="25"/>
        <v>0</v>
      </c>
      <c r="Q39" s="183">
        <f t="shared" si="25"/>
        <v>0</v>
      </c>
      <c r="R39" s="56">
        <f t="shared" si="25"/>
        <v>40</v>
      </c>
      <c r="S39" s="183">
        <f t="shared" si="25"/>
        <v>25</v>
      </c>
      <c r="T39" s="56">
        <f t="shared" si="25"/>
        <v>0</v>
      </c>
      <c r="U39" s="183">
        <f t="shared" si="25"/>
        <v>0</v>
      </c>
      <c r="V39" s="56">
        <f t="shared" si="25"/>
        <v>0</v>
      </c>
      <c r="W39" s="183">
        <f t="shared" si="25"/>
        <v>0</v>
      </c>
      <c r="X39" s="56">
        <f t="shared" si="25"/>
        <v>2</v>
      </c>
      <c r="Y39" s="56">
        <f t="shared" si="25"/>
        <v>80</v>
      </c>
      <c r="Z39" s="56">
        <f t="shared" si="25"/>
        <v>0</v>
      </c>
      <c r="AA39" s="56">
        <f t="shared" si="25"/>
        <v>80</v>
      </c>
      <c r="AB39" s="56">
        <f t="shared" si="25"/>
        <v>0</v>
      </c>
      <c r="AC39" s="56">
        <f t="shared" si="25"/>
        <v>0</v>
      </c>
      <c r="AD39" s="56">
        <f t="shared" si="25"/>
        <v>130</v>
      </c>
      <c r="AE39" s="56">
        <f t="shared" si="25"/>
        <v>4</v>
      </c>
    </row>
    <row r="40" spans="1:31" ht="15.75">
      <c r="A40" s="50" t="s">
        <v>117</v>
      </c>
      <c r="B40" s="51"/>
      <c r="C40" s="52"/>
      <c r="D40" s="51"/>
      <c r="E40" s="51"/>
      <c r="F40" s="51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4"/>
    </row>
    <row r="41" spans="1:31" ht="15.75">
      <c r="A41" s="165" t="s">
        <v>145</v>
      </c>
      <c r="B41" s="593" t="s">
        <v>118</v>
      </c>
      <c r="C41" s="594"/>
      <c r="D41" s="123"/>
      <c r="E41" s="125">
        <v>3</v>
      </c>
      <c r="F41" s="125"/>
      <c r="G41" s="156">
        <v>15</v>
      </c>
      <c r="H41" s="182">
        <v>10</v>
      </c>
      <c r="I41" s="156"/>
      <c r="J41" s="182"/>
      <c r="K41" s="156"/>
      <c r="L41" s="182"/>
      <c r="M41" s="156"/>
      <c r="N41" s="182"/>
      <c r="O41" s="156">
        <v>1</v>
      </c>
      <c r="P41" s="159"/>
      <c r="Q41" s="185"/>
      <c r="R41" s="159"/>
      <c r="S41" s="185"/>
      <c r="T41" s="159"/>
      <c r="U41" s="185"/>
      <c r="V41" s="159"/>
      <c r="W41" s="185"/>
      <c r="X41" s="159"/>
      <c r="Y41" s="48">
        <f>SUM(Z41:AC41)</f>
        <v>15</v>
      </c>
      <c r="Z41" s="48">
        <f>SUM(G41,P41)</f>
        <v>15</v>
      </c>
      <c r="AA41" s="48">
        <f>SUM(I41,R41)</f>
        <v>0</v>
      </c>
      <c r="AB41" s="48">
        <f>SUM(K41,T41)</f>
        <v>0</v>
      </c>
      <c r="AC41" s="48">
        <f>SUM(M41,V41)</f>
        <v>0</v>
      </c>
      <c r="AD41" s="48">
        <f>SUM(G41:N41,P41:W41)</f>
        <v>25</v>
      </c>
      <c r="AE41" s="48">
        <f>SUM(O41,X41)</f>
        <v>1</v>
      </c>
    </row>
    <row r="42" spans="1:31" ht="15.75">
      <c r="A42" s="165" t="s">
        <v>146</v>
      </c>
      <c r="B42" s="593" t="s">
        <v>118</v>
      </c>
      <c r="C42" s="594"/>
      <c r="D42" s="123"/>
      <c r="E42" s="125">
        <v>3</v>
      </c>
      <c r="F42" s="125"/>
      <c r="G42" s="156">
        <v>15</v>
      </c>
      <c r="H42" s="182">
        <v>10</v>
      </c>
      <c r="I42" s="156"/>
      <c r="J42" s="182"/>
      <c r="K42" s="156"/>
      <c r="L42" s="182"/>
      <c r="M42" s="156"/>
      <c r="N42" s="182"/>
      <c r="O42" s="156">
        <v>1</v>
      </c>
      <c r="P42" s="159"/>
      <c r="Q42" s="185"/>
      <c r="R42" s="159"/>
      <c r="S42" s="185"/>
      <c r="T42" s="159"/>
      <c r="U42" s="185"/>
      <c r="V42" s="159"/>
      <c r="W42" s="185"/>
      <c r="X42" s="159"/>
      <c r="Y42" s="48">
        <f t="shared" ref="Y42:Y44" si="26">SUM(Z42:AC42)</f>
        <v>15</v>
      </c>
      <c r="Z42" s="48">
        <f t="shared" ref="Z42:Z44" si="27">SUM(G42,P42)</f>
        <v>15</v>
      </c>
      <c r="AA42" s="48">
        <f t="shared" ref="AA42:AA44" si="28">SUM(I42,R42)</f>
        <v>0</v>
      </c>
      <c r="AB42" s="48">
        <f t="shared" ref="AB42:AB44" si="29">SUM(K42,T42)</f>
        <v>0</v>
      </c>
      <c r="AC42" s="48">
        <f>SUM(M42,V42)</f>
        <v>0</v>
      </c>
      <c r="AD42" s="48">
        <f>SUM(G42:N42,P42:W42)</f>
        <v>25</v>
      </c>
      <c r="AE42" s="48">
        <f>SUM(O42,X42)</f>
        <v>1</v>
      </c>
    </row>
    <row r="43" spans="1:31" ht="15.75">
      <c r="A43" s="165" t="s">
        <v>147</v>
      </c>
      <c r="B43" s="593" t="s">
        <v>118</v>
      </c>
      <c r="C43" s="594"/>
      <c r="D43" s="46"/>
      <c r="E43" s="47">
        <v>4</v>
      </c>
      <c r="F43" s="47"/>
      <c r="G43" s="156"/>
      <c r="H43" s="182"/>
      <c r="I43" s="156"/>
      <c r="J43" s="182"/>
      <c r="K43" s="156"/>
      <c r="L43" s="182"/>
      <c r="M43" s="156"/>
      <c r="N43" s="182"/>
      <c r="O43" s="156"/>
      <c r="P43" s="159">
        <v>15</v>
      </c>
      <c r="Q43" s="185">
        <v>10</v>
      </c>
      <c r="R43" s="159"/>
      <c r="S43" s="185"/>
      <c r="T43" s="159"/>
      <c r="U43" s="185"/>
      <c r="V43" s="159"/>
      <c r="W43" s="185"/>
      <c r="X43" s="159">
        <v>1</v>
      </c>
      <c r="Y43" s="48">
        <f t="shared" si="26"/>
        <v>15</v>
      </c>
      <c r="Z43" s="48">
        <f t="shared" si="27"/>
        <v>15</v>
      </c>
      <c r="AA43" s="48">
        <f t="shared" si="28"/>
        <v>0</v>
      </c>
      <c r="AB43" s="48">
        <f t="shared" si="29"/>
        <v>0</v>
      </c>
      <c r="AC43" s="48">
        <f>SUM(M43,V43)</f>
        <v>0</v>
      </c>
      <c r="AD43" s="48">
        <f>SUM(G43:N43,P43:W43)</f>
        <v>25</v>
      </c>
      <c r="AE43" s="48">
        <f>SUM(O43,X43)</f>
        <v>1</v>
      </c>
    </row>
    <row r="44" spans="1:31" ht="15.75">
      <c r="A44" s="165" t="s">
        <v>144</v>
      </c>
      <c r="B44" s="593" t="s">
        <v>118</v>
      </c>
      <c r="C44" s="594"/>
      <c r="D44" s="46"/>
      <c r="E44" s="47">
        <v>4</v>
      </c>
      <c r="F44" s="47"/>
      <c r="G44" s="156"/>
      <c r="H44" s="182"/>
      <c r="I44" s="156"/>
      <c r="J44" s="182"/>
      <c r="K44" s="156"/>
      <c r="L44" s="182"/>
      <c r="M44" s="156"/>
      <c r="N44" s="182"/>
      <c r="O44" s="156"/>
      <c r="P44" s="159">
        <v>15</v>
      </c>
      <c r="Q44" s="185">
        <v>10</v>
      </c>
      <c r="R44" s="159"/>
      <c r="S44" s="185"/>
      <c r="T44" s="159"/>
      <c r="U44" s="185"/>
      <c r="V44" s="159"/>
      <c r="W44" s="185"/>
      <c r="X44" s="159">
        <v>1</v>
      </c>
      <c r="Y44" s="48">
        <f t="shared" si="26"/>
        <v>15</v>
      </c>
      <c r="Z44" s="48">
        <f t="shared" si="27"/>
        <v>15</v>
      </c>
      <c r="AA44" s="48">
        <f t="shared" si="28"/>
        <v>0</v>
      </c>
      <c r="AB44" s="48">
        <f t="shared" si="29"/>
        <v>0</v>
      </c>
      <c r="AC44" s="48">
        <f>SUM(M44,V44)</f>
        <v>0</v>
      </c>
      <c r="AD44" s="48">
        <f>SUM(G44:N44,P44:W44)</f>
        <v>25</v>
      </c>
      <c r="AE44" s="48">
        <f>SUM(O44,X44)</f>
        <v>1</v>
      </c>
    </row>
    <row r="45" spans="1:31" ht="16.5" thickBot="1">
      <c r="A45" s="621" t="s">
        <v>9</v>
      </c>
      <c r="B45" s="622"/>
      <c r="C45" s="622"/>
      <c r="D45" s="622"/>
      <c r="E45" s="622"/>
      <c r="F45" s="623"/>
      <c r="G45" s="56">
        <f t="shared" ref="G45:X45" si="30">SUM(G41:G44)</f>
        <v>30</v>
      </c>
      <c r="H45" s="183">
        <f t="shared" si="30"/>
        <v>20</v>
      </c>
      <c r="I45" s="56">
        <f t="shared" si="30"/>
        <v>0</v>
      </c>
      <c r="J45" s="183">
        <f t="shared" si="30"/>
        <v>0</v>
      </c>
      <c r="K45" s="56">
        <f t="shared" si="30"/>
        <v>0</v>
      </c>
      <c r="L45" s="183">
        <f t="shared" si="30"/>
        <v>0</v>
      </c>
      <c r="M45" s="56">
        <f t="shared" si="30"/>
        <v>0</v>
      </c>
      <c r="N45" s="183">
        <f t="shared" si="30"/>
        <v>0</v>
      </c>
      <c r="O45" s="56">
        <f t="shared" si="30"/>
        <v>2</v>
      </c>
      <c r="P45" s="56">
        <f t="shared" si="30"/>
        <v>30</v>
      </c>
      <c r="Q45" s="183">
        <f t="shared" si="30"/>
        <v>20</v>
      </c>
      <c r="R45" s="56">
        <f t="shared" si="30"/>
        <v>0</v>
      </c>
      <c r="S45" s="183">
        <f t="shared" si="30"/>
        <v>0</v>
      </c>
      <c r="T45" s="56">
        <f t="shared" si="30"/>
        <v>0</v>
      </c>
      <c r="U45" s="183">
        <f t="shared" si="30"/>
        <v>0</v>
      </c>
      <c r="V45" s="56">
        <f t="shared" si="30"/>
        <v>0</v>
      </c>
      <c r="W45" s="183">
        <f t="shared" si="30"/>
        <v>0</v>
      </c>
      <c r="X45" s="56">
        <f t="shared" si="30"/>
        <v>2</v>
      </c>
      <c r="Y45" s="56">
        <f t="shared" ref="Y45:AE45" si="31">SUM(Y41:Y44)</f>
        <v>60</v>
      </c>
      <c r="Z45" s="56">
        <f t="shared" si="31"/>
        <v>60</v>
      </c>
      <c r="AA45" s="56">
        <f t="shared" si="31"/>
        <v>0</v>
      </c>
      <c r="AB45" s="56">
        <f t="shared" si="31"/>
        <v>0</v>
      </c>
      <c r="AC45" s="56">
        <f t="shared" si="31"/>
        <v>0</v>
      </c>
      <c r="AD45" s="56">
        <f t="shared" si="31"/>
        <v>100</v>
      </c>
      <c r="AE45" s="56">
        <f t="shared" si="31"/>
        <v>4</v>
      </c>
    </row>
    <row r="46" spans="1:31" ht="26.25" customHeight="1" thickBot="1">
      <c r="A46" s="587" t="s">
        <v>21</v>
      </c>
      <c r="B46" s="588"/>
      <c r="C46" s="588"/>
      <c r="D46" s="588"/>
      <c r="E46" s="588"/>
      <c r="F46" s="589"/>
      <c r="G46" s="64">
        <f t="shared" ref="G46:N46" si="32">SUM(G14,G21,G25,G30,G34,G39,G45)</f>
        <v>155</v>
      </c>
      <c r="H46" s="188">
        <f t="shared" si="32"/>
        <v>155</v>
      </c>
      <c r="I46" s="64">
        <f t="shared" si="32"/>
        <v>165</v>
      </c>
      <c r="J46" s="188">
        <f t="shared" si="32"/>
        <v>210</v>
      </c>
      <c r="K46" s="64">
        <f t="shared" si="32"/>
        <v>0</v>
      </c>
      <c r="L46" s="188">
        <f t="shared" si="32"/>
        <v>0</v>
      </c>
      <c r="M46" s="64">
        <f t="shared" si="32"/>
        <v>75</v>
      </c>
      <c r="N46" s="188">
        <f t="shared" si="32"/>
        <v>0</v>
      </c>
      <c r="O46" s="64">
        <f>SUM(O45,O39,O34,O30,O25,O21,O14)</f>
        <v>29.5</v>
      </c>
      <c r="P46" s="64">
        <f t="shared" ref="P46:W46" si="33">SUM(P14,P21,P25,P30,P34,P39,P45)</f>
        <v>145</v>
      </c>
      <c r="Q46" s="188">
        <f t="shared" si="33"/>
        <v>110</v>
      </c>
      <c r="R46" s="64">
        <f t="shared" si="33"/>
        <v>275</v>
      </c>
      <c r="S46" s="188">
        <f t="shared" si="33"/>
        <v>200</v>
      </c>
      <c r="T46" s="64">
        <f t="shared" si="33"/>
        <v>0</v>
      </c>
      <c r="U46" s="188">
        <f t="shared" si="33"/>
        <v>0</v>
      </c>
      <c r="V46" s="64">
        <f t="shared" si="33"/>
        <v>75</v>
      </c>
      <c r="W46" s="188">
        <f t="shared" si="33"/>
        <v>0</v>
      </c>
      <c r="X46" s="64">
        <f>SUM(X45,X39,X34,X30,X25,X21,X14,)</f>
        <v>30.5</v>
      </c>
      <c r="Y46" s="64">
        <f>SUM(Y45,Y39,Y34,Y30,Y25,Y21,Y14,)</f>
        <v>890</v>
      </c>
      <c r="Z46" s="64">
        <f>SUM(Z45,Z39,Z34,Z30,Z25,Z21,Z14,)</f>
        <v>300</v>
      </c>
      <c r="AA46" s="64">
        <f>SUM(AA45,AA39,AA34,AA30,AA25,AA21,AA14,)</f>
        <v>440</v>
      </c>
      <c r="AB46" s="64">
        <f>SUM(AB14,AB21,AB25,AB30,AB34,AB39,AB45)</f>
        <v>0</v>
      </c>
      <c r="AC46" s="64">
        <f>SUM(AC45,AC39,AC34,AC30,AC25,AC21,AC14,)</f>
        <v>150</v>
      </c>
      <c r="AD46" s="64">
        <f>SUM(AD45,AD39,AD34,AD30,AD25,AD21,AD14,)</f>
        <v>1565</v>
      </c>
      <c r="AE46" s="64">
        <f>SUM(AE45,AE39,AE34,AE30,AE25,AE21,AE14,)</f>
        <v>60</v>
      </c>
    </row>
    <row r="47" spans="1:31">
      <c r="B47" s="19"/>
      <c r="C47" s="3"/>
    </row>
    <row r="48" spans="1:31" ht="18">
      <c r="A48" s="620" t="s">
        <v>345</v>
      </c>
      <c r="B48" s="620"/>
      <c r="C48" s="620"/>
      <c r="D48" s="620"/>
      <c r="E48" s="620"/>
      <c r="F48" s="620"/>
      <c r="G48" s="620"/>
      <c r="H48" s="620"/>
      <c r="I48" s="620"/>
      <c r="J48" s="620"/>
      <c r="K48" s="620"/>
      <c r="L48" s="620"/>
      <c r="M48" s="620"/>
      <c r="N48" s="620"/>
      <c r="O48" s="620"/>
      <c r="P48" s="620"/>
      <c r="Q48" s="620"/>
      <c r="R48" s="620"/>
      <c r="S48" s="620"/>
      <c r="T48" s="620"/>
      <c r="U48" s="620"/>
      <c r="V48" s="620"/>
      <c r="W48" s="620"/>
      <c r="X48" s="620"/>
      <c r="Y48" s="620"/>
      <c r="Z48" s="620"/>
      <c r="AA48" s="620"/>
      <c r="AB48" s="620"/>
      <c r="AC48" s="620"/>
      <c r="AD48" s="620"/>
      <c r="AE48" s="620"/>
    </row>
    <row r="49" spans="1:31" ht="7.5" customHeight="1"/>
    <row r="50" spans="1:31" ht="30" customHeight="1">
      <c r="A50" s="165" t="s">
        <v>147</v>
      </c>
      <c r="B50" s="61" t="s">
        <v>128</v>
      </c>
      <c r="C50" s="45" t="str">
        <f>"0912-7LEK-F-"&amp;A50&amp;"-"&amp;"EBM"</f>
        <v>0912-7LEK-F-7-EBM</v>
      </c>
      <c r="D50" s="123"/>
      <c r="E50" s="125">
        <v>3</v>
      </c>
      <c r="F50" s="125"/>
      <c r="G50" s="156">
        <v>15</v>
      </c>
      <c r="H50" s="156">
        <v>10</v>
      </c>
      <c r="I50" s="156"/>
      <c r="J50" s="182"/>
      <c r="K50" s="156"/>
      <c r="L50" s="156"/>
      <c r="M50" s="156"/>
      <c r="N50" s="156"/>
      <c r="O50" s="156">
        <v>1</v>
      </c>
      <c r="P50" s="159"/>
      <c r="Q50" s="185"/>
      <c r="R50" s="159"/>
      <c r="S50" s="185"/>
      <c r="T50" s="159"/>
      <c r="U50" s="159"/>
      <c r="V50" s="159"/>
      <c r="W50" s="159"/>
      <c r="X50" s="159"/>
      <c r="Y50" s="48">
        <f t="shared" ref="Y50:Y58" si="34">SUM(G50,I50,K50,M50,P50,R50,T50,V50)</f>
        <v>15</v>
      </c>
      <c r="Z50" s="48">
        <f t="shared" ref="Z50:Z58" si="35">SUM(G50,P50)</f>
        <v>15</v>
      </c>
      <c r="AA50" s="48">
        <f t="shared" ref="AA50:AA58" si="36">SUM(I50,R50)</f>
        <v>0</v>
      </c>
      <c r="AB50" s="48">
        <f t="shared" ref="AB50:AB58" si="37">SUM(K50,T50)</f>
        <v>0</v>
      </c>
      <c r="AC50" s="48">
        <f t="shared" ref="AC50:AC58" si="38">SUM(M50,V50)</f>
        <v>0</v>
      </c>
      <c r="AD50" s="48">
        <f t="shared" ref="AD50:AD58" si="39">SUM(G50:N50,P50:W50)</f>
        <v>25</v>
      </c>
      <c r="AE50" s="48">
        <f t="shared" ref="AE50:AE58" si="40">SUM(O50,X50)</f>
        <v>1</v>
      </c>
    </row>
    <row r="51" spans="1:31" ht="24" customHeight="1">
      <c r="A51" s="165" t="s">
        <v>144</v>
      </c>
      <c r="B51" s="61" t="s">
        <v>127</v>
      </c>
      <c r="C51" s="439" t="str">
        <f>"0912-7LEK-F-"&amp;A51&amp;"-"&amp;"GMO"</f>
        <v>0912-7LEK-F-8-GMO</v>
      </c>
      <c r="D51" s="123"/>
      <c r="E51" s="125">
        <v>3</v>
      </c>
      <c r="F51" s="125"/>
      <c r="G51" s="156">
        <v>15</v>
      </c>
      <c r="H51" s="156">
        <v>10</v>
      </c>
      <c r="I51" s="156"/>
      <c r="J51" s="182"/>
      <c r="K51" s="156"/>
      <c r="L51" s="156"/>
      <c r="M51" s="156"/>
      <c r="N51" s="156"/>
      <c r="O51" s="156">
        <v>1</v>
      </c>
      <c r="P51" s="159"/>
      <c r="Q51" s="185"/>
      <c r="R51" s="159"/>
      <c r="S51" s="185"/>
      <c r="T51" s="159"/>
      <c r="U51" s="159"/>
      <c r="V51" s="159"/>
      <c r="W51" s="159"/>
      <c r="X51" s="159"/>
      <c r="Y51" s="48">
        <f t="shared" si="34"/>
        <v>15</v>
      </c>
      <c r="Z51" s="48">
        <f t="shared" si="35"/>
        <v>15</v>
      </c>
      <c r="AA51" s="48">
        <f t="shared" si="36"/>
        <v>0</v>
      </c>
      <c r="AB51" s="48">
        <f t="shared" si="37"/>
        <v>0</v>
      </c>
      <c r="AC51" s="48">
        <f t="shared" si="38"/>
        <v>0</v>
      </c>
      <c r="AD51" s="48">
        <f t="shared" si="39"/>
        <v>25</v>
      </c>
      <c r="AE51" s="48">
        <f t="shared" si="40"/>
        <v>1</v>
      </c>
    </row>
    <row r="52" spans="1:31" ht="21.75" customHeight="1">
      <c r="A52" s="165" t="s">
        <v>129</v>
      </c>
      <c r="B52" s="61" t="s">
        <v>180</v>
      </c>
      <c r="C52" s="439" t="str">
        <f>"0912-7LEK-F"&amp;A52&amp;"-"&amp;UPPER(LEFT(B52,1))&amp;"A"</f>
        <v>0912-7LEK-F9-RA</v>
      </c>
      <c r="D52" s="123"/>
      <c r="E52" s="125">
        <v>3</v>
      </c>
      <c r="F52" s="125"/>
      <c r="G52" s="156">
        <v>15</v>
      </c>
      <c r="H52" s="182">
        <v>10</v>
      </c>
      <c r="I52" s="156"/>
      <c r="J52" s="182"/>
      <c r="K52" s="156"/>
      <c r="L52" s="156"/>
      <c r="M52" s="156"/>
      <c r="N52" s="156"/>
      <c r="O52" s="156">
        <v>1</v>
      </c>
      <c r="P52" s="159"/>
      <c r="Q52" s="185"/>
      <c r="R52" s="159"/>
      <c r="S52" s="185"/>
      <c r="T52" s="159"/>
      <c r="U52" s="159"/>
      <c r="V52" s="159"/>
      <c r="W52" s="159"/>
      <c r="X52" s="159"/>
      <c r="Y52" s="48">
        <f t="shared" si="34"/>
        <v>15</v>
      </c>
      <c r="Z52" s="48">
        <f t="shared" si="35"/>
        <v>15</v>
      </c>
      <c r="AA52" s="48">
        <f t="shared" si="36"/>
        <v>0</v>
      </c>
      <c r="AB52" s="48">
        <f t="shared" si="37"/>
        <v>0</v>
      </c>
      <c r="AC52" s="48">
        <f t="shared" si="38"/>
        <v>0</v>
      </c>
      <c r="AD52" s="48">
        <f t="shared" si="39"/>
        <v>25</v>
      </c>
      <c r="AE52" s="48">
        <f t="shared" si="40"/>
        <v>1</v>
      </c>
    </row>
    <row r="53" spans="1:31" ht="40.5" customHeight="1">
      <c r="A53" s="165" t="s">
        <v>132</v>
      </c>
      <c r="B53" s="61" t="str">
        <f>'[1]II rok'!$B$51</f>
        <v>Molekularne podstawy działania narządów zmysłów</v>
      </c>
      <c r="C53" s="439" t="str">
        <f>"0912-7LEK-F"&amp;A53&amp;"-"&amp;UPPER(LEFT(B53,1))&amp;"P"</f>
        <v>0912-7LEK-F10-MP</v>
      </c>
      <c r="D53" s="450"/>
      <c r="E53" s="451">
        <v>3</v>
      </c>
      <c r="F53" s="451"/>
      <c r="G53" s="156">
        <v>15</v>
      </c>
      <c r="H53" s="182">
        <v>10</v>
      </c>
      <c r="I53" s="156"/>
      <c r="J53" s="182"/>
      <c r="K53" s="156"/>
      <c r="L53" s="156"/>
      <c r="M53" s="156"/>
      <c r="N53" s="156"/>
      <c r="O53" s="156">
        <v>1</v>
      </c>
      <c r="P53" s="159"/>
      <c r="Q53" s="185"/>
      <c r="R53" s="159"/>
      <c r="S53" s="185"/>
      <c r="T53" s="159"/>
      <c r="U53" s="159"/>
      <c r="V53" s="159"/>
      <c r="W53" s="159"/>
      <c r="X53" s="159"/>
      <c r="Y53" s="48">
        <v>15</v>
      </c>
      <c r="Z53" s="48">
        <v>15</v>
      </c>
      <c r="AA53" s="48">
        <v>0</v>
      </c>
      <c r="AB53" s="48">
        <v>0</v>
      </c>
      <c r="AC53" s="48">
        <v>0</v>
      </c>
      <c r="AD53" s="48">
        <v>25</v>
      </c>
      <c r="AE53" s="48">
        <v>1</v>
      </c>
    </row>
    <row r="54" spans="1:31" ht="21.75" customHeight="1">
      <c r="A54" s="165" t="s">
        <v>133</v>
      </c>
      <c r="B54" s="61" t="s">
        <v>190</v>
      </c>
      <c r="C54" s="439" t="str">
        <f>"0912-7LEK-F"&amp;A54&amp;"-"&amp;UPPER(LEFT(B54,1))&amp;"G"</f>
        <v>0912-7LEK-F11-IG</v>
      </c>
      <c r="D54" s="123"/>
      <c r="E54" s="125">
        <v>4</v>
      </c>
      <c r="F54" s="125"/>
      <c r="G54" s="156"/>
      <c r="H54" s="182"/>
      <c r="I54" s="156"/>
      <c r="J54" s="182"/>
      <c r="K54" s="156"/>
      <c r="L54" s="156"/>
      <c r="M54" s="156"/>
      <c r="N54" s="156"/>
      <c r="O54" s="156"/>
      <c r="P54" s="159">
        <v>15</v>
      </c>
      <c r="Q54" s="185">
        <v>10</v>
      </c>
      <c r="R54" s="159"/>
      <c r="S54" s="185"/>
      <c r="T54" s="159"/>
      <c r="U54" s="159"/>
      <c r="V54" s="159"/>
      <c r="W54" s="159"/>
      <c r="X54" s="159">
        <v>1</v>
      </c>
      <c r="Y54" s="48">
        <f t="shared" si="34"/>
        <v>15</v>
      </c>
      <c r="Z54" s="48">
        <f t="shared" si="35"/>
        <v>15</v>
      </c>
      <c r="AA54" s="48">
        <f t="shared" si="36"/>
        <v>0</v>
      </c>
      <c r="AB54" s="48">
        <f t="shared" si="37"/>
        <v>0</v>
      </c>
      <c r="AC54" s="48">
        <f t="shared" si="38"/>
        <v>0</v>
      </c>
      <c r="AD54" s="48">
        <f t="shared" si="39"/>
        <v>25</v>
      </c>
      <c r="AE54" s="48">
        <f t="shared" si="40"/>
        <v>1</v>
      </c>
    </row>
    <row r="55" spans="1:31" ht="21.75" customHeight="1">
      <c r="A55" s="165" t="s">
        <v>134</v>
      </c>
      <c r="B55" s="132" t="s">
        <v>137</v>
      </c>
      <c r="C55" s="439" t="str">
        <f>"0912-7LEK-F-"&amp;A55&amp;"-"&amp;UPPER(LEFT(B55,1))&amp;"f"</f>
        <v>0912-7LEK-F-12-Ef</v>
      </c>
      <c r="D55" s="123"/>
      <c r="E55" s="125">
        <v>4</v>
      </c>
      <c r="F55" s="125"/>
      <c r="G55" s="156"/>
      <c r="H55" s="182"/>
      <c r="I55" s="156"/>
      <c r="J55" s="182"/>
      <c r="K55" s="156"/>
      <c r="L55" s="156"/>
      <c r="M55" s="156"/>
      <c r="N55" s="156"/>
      <c r="O55" s="156"/>
      <c r="P55" s="159">
        <v>15</v>
      </c>
      <c r="Q55" s="185">
        <v>10</v>
      </c>
      <c r="R55" s="159"/>
      <c r="S55" s="185"/>
      <c r="T55" s="159"/>
      <c r="U55" s="159"/>
      <c r="V55" s="159"/>
      <c r="W55" s="159"/>
      <c r="X55" s="159">
        <v>1</v>
      </c>
      <c r="Y55" s="48">
        <f t="shared" si="34"/>
        <v>15</v>
      </c>
      <c r="Z55" s="48">
        <f t="shared" si="35"/>
        <v>15</v>
      </c>
      <c r="AA55" s="48">
        <f t="shared" si="36"/>
        <v>0</v>
      </c>
      <c r="AB55" s="48">
        <f t="shared" si="37"/>
        <v>0</v>
      </c>
      <c r="AC55" s="48">
        <f t="shared" si="38"/>
        <v>0</v>
      </c>
      <c r="AD55" s="48">
        <f t="shared" si="39"/>
        <v>25</v>
      </c>
      <c r="AE55" s="48">
        <f t="shared" si="40"/>
        <v>1</v>
      </c>
    </row>
    <row r="56" spans="1:31" ht="21.75" customHeight="1">
      <c r="A56" s="165" t="s">
        <v>135</v>
      </c>
      <c r="B56" s="132" t="s">
        <v>138</v>
      </c>
      <c r="C56" s="45" t="str">
        <f>"0912-7LEK-F-"&amp;A56&amp;"-"&amp;UPPER(LEFT(B56,1))&amp;"M"</f>
        <v>0912-7LEK-F-13-AM</v>
      </c>
      <c r="D56" s="123"/>
      <c r="E56" s="125">
        <v>4</v>
      </c>
      <c r="F56" s="125"/>
      <c r="G56" s="156"/>
      <c r="H56" s="182"/>
      <c r="I56" s="156"/>
      <c r="J56" s="182"/>
      <c r="K56" s="156"/>
      <c r="L56" s="156"/>
      <c r="M56" s="156"/>
      <c r="N56" s="156"/>
      <c r="O56" s="156"/>
      <c r="P56" s="159">
        <v>15</v>
      </c>
      <c r="Q56" s="185">
        <v>10</v>
      </c>
      <c r="R56" s="159"/>
      <c r="S56" s="185"/>
      <c r="T56" s="159"/>
      <c r="U56" s="159"/>
      <c r="V56" s="159"/>
      <c r="W56" s="159"/>
      <c r="X56" s="159">
        <v>1</v>
      </c>
      <c r="Y56" s="48">
        <f t="shared" si="34"/>
        <v>15</v>
      </c>
      <c r="Z56" s="48">
        <f t="shared" si="35"/>
        <v>15</v>
      </c>
      <c r="AA56" s="48">
        <f t="shared" si="36"/>
        <v>0</v>
      </c>
      <c r="AB56" s="48">
        <f t="shared" si="37"/>
        <v>0</v>
      </c>
      <c r="AC56" s="48">
        <f t="shared" si="38"/>
        <v>0</v>
      </c>
      <c r="AD56" s="48">
        <f t="shared" si="39"/>
        <v>25</v>
      </c>
      <c r="AE56" s="48">
        <f t="shared" si="40"/>
        <v>1</v>
      </c>
    </row>
    <row r="57" spans="1:31" ht="21.75" customHeight="1">
      <c r="A57" s="165" t="s">
        <v>136</v>
      </c>
      <c r="B57" s="132" t="s">
        <v>139</v>
      </c>
      <c r="C57" s="45" t="str">
        <f>"0912-7LEK-F-"&amp;A57&amp;"-"&amp;UPPER(LEFT(B57,1))&amp;"O"</f>
        <v>0912-7LEK-F-14-IO</v>
      </c>
      <c r="D57" s="123"/>
      <c r="E57" s="125">
        <v>4</v>
      </c>
      <c r="F57" s="125"/>
      <c r="G57" s="156"/>
      <c r="H57" s="182"/>
      <c r="I57" s="156"/>
      <c r="J57" s="182"/>
      <c r="K57" s="156"/>
      <c r="L57" s="156"/>
      <c r="M57" s="156"/>
      <c r="N57" s="156"/>
      <c r="O57" s="156"/>
      <c r="P57" s="159">
        <v>15</v>
      </c>
      <c r="Q57" s="185">
        <v>10</v>
      </c>
      <c r="R57" s="159"/>
      <c r="S57" s="185"/>
      <c r="T57" s="159"/>
      <c r="U57" s="159"/>
      <c r="V57" s="159"/>
      <c r="W57" s="159"/>
      <c r="X57" s="159">
        <v>1</v>
      </c>
      <c r="Y57" s="48">
        <f t="shared" si="34"/>
        <v>15</v>
      </c>
      <c r="Z57" s="48">
        <f t="shared" si="35"/>
        <v>15</v>
      </c>
      <c r="AA57" s="48">
        <f t="shared" si="36"/>
        <v>0</v>
      </c>
      <c r="AB57" s="48">
        <f t="shared" si="37"/>
        <v>0</v>
      </c>
      <c r="AC57" s="48">
        <f t="shared" si="38"/>
        <v>0</v>
      </c>
      <c r="AD57" s="48">
        <f t="shared" si="39"/>
        <v>25</v>
      </c>
      <c r="AE57" s="48">
        <f t="shared" si="40"/>
        <v>1</v>
      </c>
    </row>
    <row r="58" spans="1:31" ht="21" customHeight="1">
      <c r="A58" s="165" t="s">
        <v>140</v>
      </c>
      <c r="B58" s="132" t="s">
        <v>274</v>
      </c>
      <c r="C58" s="45" t="str">
        <f>"0912-7LEK-F-"&amp;A58&amp;"-"&amp;UPPER(LEFT(B58,1))&amp;"O"</f>
        <v>0912-7LEK-F-15-HO</v>
      </c>
      <c r="D58" s="295"/>
      <c r="E58" s="296">
        <v>4</v>
      </c>
      <c r="F58" s="296"/>
      <c r="G58" s="156"/>
      <c r="H58" s="182"/>
      <c r="I58" s="156"/>
      <c r="J58" s="182"/>
      <c r="K58" s="156"/>
      <c r="L58" s="156"/>
      <c r="M58" s="156"/>
      <c r="N58" s="156"/>
      <c r="O58" s="156"/>
      <c r="P58" s="159">
        <v>15</v>
      </c>
      <c r="Q58" s="185">
        <v>10</v>
      </c>
      <c r="R58" s="159"/>
      <c r="S58" s="185"/>
      <c r="T58" s="159"/>
      <c r="U58" s="159"/>
      <c r="V58" s="159"/>
      <c r="W58" s="159"/>
      <c r="X58" s="159">
        <v>1</v>
      </c>
      <c r="Y58" s="48">
        <f t="shared" si="34"/>
        <v>15</v>
      </c>
      <c r="Z58" s="48">
        <f t="shared" si="35"/>
        <v>15</v>
      </c>
      <c r="AA58" s="48">
        <f t="shared" si="36"/>
        <v>0</v>
      </c>
      <c r="AB58" s="48">
        <f t="shared" si="37"/>
        <v>0</v>
      </c>
      <c r="AC58" s="48">
        <f t="shared" si="38"/>
        <v>0</v>
      </c>
      <c r="AD58" s="48">
        <f t="shared" si="39"/>
        <v>25</v>
      </c>
      <c r="AE58" s="48">
        <f t="shared" si="40"/>
        <v>1</v>
      </c>
    </row>
    <row r="59" spans="1:31" ht="14.25" customHeight="1">
      <c r="A59" s="298"/>
      <c r="B59" s="299"/>
      <c r="C59" s="300"/>
      <c r="D59" s="301"/>
      <c r="E59" s="302"/>
      <c r="F59" s="302"/>
      <c r="G59" s="303"/>
      <c r="H59" s="304"/>
      <c r="I59" s="303"/>
      <c r="J59" s="304"/>
      <c r="K59" s="303"/>
      <c r="L59" s="303"/>
      <c r="M59" s="303"/>
      <c r="N59" s="303"/>
      <c r="O59" s="303"/>
      <c r="P59" s="305"/>
      <c r="Q59" s="306"/>
      <c r="R59" s="305"/>
      <c r="S59" s="306"/>
      <c r="T59" s="305"/>
      <c r="U59" s="305"/>
      <c r="V59" s="305"/>
      <c r="W59" s="305"/>
      <c r="X59" s="305"/>
      <c r="Y59" s="160"/>
      <c r="Z59" s="160"/>
      <c r="AA59" s="160"/>
      <c r="AB59" s="160"/>
      <c r="AC59" s="160"/>
      <c r="AD59" s="160"/>
      <c r="AE59" s="160"/>
    </row>
    <row r="60" spans="1:31" ht="15.75">
      <c r="A60" s="619" t="s">
        <v>124</v>
      </c>
      <c r="B60" s="619"/>
      <c r="C60" s="619"/>
      <c r="D60" s="619"/>
      <c r="E60" s="619"/>
      <c r="F60" s="619"/>
      <c r="G60" s="619"/>
      <c r="H60" s="619"/>
      <c r="I60" s="619"/>
      <c r="J60" s="619"/>
      <c r="K60" s="619"/>
      <c r="L60" s="619"/>
      <c r="M60" s="619"/>
      <c r="N60" s="619"/>
      <c r="O60" s="619"/>
      <c r="P60" s="619"/>
      <c r="Q60" s="619"/>
      <c r="R60" s="619"/>
      <c r="S60" s="619"/>
      <c r="T60" s="619"/>
      <c r="U60" s="619"/>
      <c r="V60" s="619"/>
      <c r="W60" s="619"/>
      <c r="X60" s="619"/>
      <c r="Y60" s="619"/>
      <c r="Z60" s="619"/>
      <c r="AA60" s="619"/>
      <c r="AB60" s="619"/>
      <c r="AC60" s="619"/>
      <c r="AD60" s="619"/>
      <c r="AE60" s="619"/>
    </row>
    <row r="61" spans="1:31" ht="19.5" customHeight="1">
      <c r="A61" s="165" t="s">
        <v>329</v>
      </c>
      <c r="B61" s="120" t="s">
        <v>189</v>
      </c>
      <c r="C61" s="45" t="str">
        <f>"0912-7LEK-A"&amp;A61&amp;"-"&amp;UPPER(LEFT(B61,1))&amp;""</f>
        <v>0912-7LEK-A11,5-R</v>
      </c>
      <c r="D61" s="178"/>
      <c r="E61" s="167" t="s">
        <v>199</v>
      </c>
      <c r="F61" s="193"/>
      <c r="G61" s="136"/>
      <c r="H61" s="136"/>
      <c r="I61" s="136">
        <v>30</v>
      </c>
      <c r="J61" s="182">
        <v>30</v>
      </c>
      <c r="K61" s="136"/>
      <c r="L61" s="136"/>
      <c r="M61" s="136"/>
      <c r="N61" s="136"/>
      <c r="O61" s="136">
        <v>2</v>
      </c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</row>
    <row r="62" spans="1:31" ht="19.5" customHeight="1">
      <c r="A62" s="165" t="s">
        <v>321</v>
      </c>
      <c r="B62" s="120" t="s">
        <v>208</v>
      </c>
      <c r="C62" s="45" t="str">
        <f>"0912-7LEK-A"&amp;A62&amp;"-"&amp;UPPER(LEFT(B62,1))&amp;""</f>
        <v>0912-7LEK-A11,6-M</v>
      </c>
      <c r="D62" s="178"/>
      <c r="E62" s="167" t="s">
        <v>199</v>
      </c>
      <c r="F62" s="179"/>
      <c r="G62" s="136"/>
      <c r="H62" s="136"/>
      <c r="I62" s="136">
        <v>30</v>
      </c>
      <c r="J62" s="182">
        <v>30</v>
      </c>
      <c r="K62" s="136"/>
      <c r="L62" s="136"/>
      <c r="M62" s="136"/>
      <c r="N62" s="136"/>
      <c r="O62" s="136">
        <v>2</v>
      </c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</row>
    <row r="63" spans="1:31" ht="19.5" customHeight="1">
      <c r="A63" s="165" t="s">
        <v>330</v>
      </c>
      <c r="B63" s="120" t="s">
        <v>186</v>
      </c>
      <c r="C63" s="45" t="str">
        <f>"0912-7LEK-A"&amp;A63&amp;"-"&amp;UPPER(LEFT(B63,1))&amp;""</f>
        <v>0912-7LEK-A11,7-C</v>
      </c>
      <c r="D63" s="178"/>
      <c r="E63" s="167" t="s">
        <v>199</v>
      </c>
      <c r="F63" s="179"/>
      <c r="G63" s="136"/>
      <c r="H63" s="136"/>
      <c r="I63" s="136">
        <v>30</v>
      </c>
      <c r="J63" s="182">
        <v>30</v>
      </c>
      <c r="K63" s="136"/>
      <c r="L63" s="136"/>
      <c r="M63" s="136"/>
      <c r="N63" s="136"/>
      <c r="O63" s="136">
        <v>2</v>
      </c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</row>
    <row r="64" spans="1:31" ht="19.5" customHeight="1">
      <c r="A64" s="165" t="s">
        <v>331</v>
      </c>
      <c r="B64" s="120" t="s">
        <v>187</v>
      </c>
      <c r="C64" s="45" t="str">
        <f>"0912-7LEK-A"&amp;A64&amp;"-"&amp;UPPER(LEFT(B64,1))&amp;"RO"</f>
        <v>0912-7LEK-A11,8-PRO</v>
      </c>
      <c r="D64" s="178"/>
      <c r="E64" s="167" t="s">
        <v>199</v>
      </c>
      <c r="F64" s="179"/>
      <c r="G64" s="136"/>
      <c r="H64" s="136"/>
      <c r="I64" s="136">
        <v>30</v>
      </c>
      <c r="J64" s="182">
        <v>30</v>
      </c>
      <c r="K64" s="136"/>
      <c r="L64" s="136"/>
      <c r="M64" s="136"/>
      <c r="N64" s="136"/>
      <c r="O64" s="136">
        <v>2</v>
      </c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</row>
    <row r="65" spans="1:15" ht="19.5" customHeight="1">
      <c r="A65" s="165" t="s">
        <v>332</v>
      </c>
      <c r="B65" s="120" t="s">
        <v>188</v>
      </c>
      <c r="C65" s="45" t="str">
        <f>"0912-7LEK-A"&amp;A65&amp;"-"&amp;UPPER(LEFT(B65,1))&amp;"A"</f>
        <v>0912-7LEK-A11,9-ZA</v>
      </c>
      <c r="D65" s="194"/>
      <c r="E65" s="167" t="s">
        <v>199</v>
      </c>
      <c r="F65" s="194"/>
      <c r="G65" s="136"/>
      <c r="H65" s="136"/>
      <c r="I65" s="136">
        <v>30</v>
      </c>
      <c r="J65" s="182">
        <v>30</v>
      </c>
      <c r="K65" s="136"/>
      <c r="L65" s="136"/>
      <c r="M65" s="136"/>
      <c r="N65" s="136"/>
      <c r="O65" s="136">
        <v>2</v>
      </c>
    </row>
    <row r="67" spans="1:15" ht="18.75">
      <c r="O67" s="20" t="s">
        <v>126</v>
      </c>
    </row>
  </sheetData>
  <mergeCells count="49">
    <mergeCell ref="B41:C41"/>
    <mergeCell ref="B42:C42"/>
    <mergeCell ref="B43:C43"/>
    <mergeCell ref="A60:AE60"/>
    <mergeCell ref="A48:AE48"/>
    <mergeCell ref="A46:F46"/>
    <mergeCell ref="A45:F45"/>
    <mergeCell ref="B44:C44"/>
    <mergeCell ref="A2:B2"/>
    <mergeCell ref="H2:P2"/>
    <mergeCell ref="A3:B3"/>
    <mergeCell ref="M8:N8"/>
    <mergeCell ref="G8:H8"/>
    <mergeCell ref="I8:J8"/>
    <mergeCell ref="K8:L8"/>
    <mergeCell ref="E8:E9"/>
    <mergeCell ref="F8:F9"/>
    <mergeCell ref="A39:F39"/>
    <mergeCell ref="Z6:Z9"/>
    <mergeCell ref="AA6:AA9"/>
    <mergeCell ref="T8:U8"/>
    <mergeCell ref="R8:S8"/>
    <mergeCell ref="A34:F34"/>
    <mergeCell ref="A30:F30"/>
    <mergeCell ref="A21:F21"/>
    <mergeCell ref="A37:A38"/>
    <mergeCell ref="B37:C38"/>
    <mergeCell ref="A25:F25"/>
    <mergeCell ref="A22:AE22"/>
    <mergeCell ref="AC6:AC9"/>
    <mergeCell ref="V8:W8"/>
    <mergeCell ref="Y6:Y9"/>
    <mergeCell ref="AB6:AB9"/>
    <mergeCell ref="A14:F14"/>
    <mergeCell ref="O8:O9"/>
    <mergeCell ref="A1:AE1"/>
    <mergeCell ref="A5:F5"/>
    <mergeCell ref="G5:AE5"/>
    <mergeCell ref="A6:A9"/>
    <mergeCell ref="B6:B9"/>
    <mergeCell ref="C6:C9"/>
    <mergeCell ref="D6:F7"/>
    <mergeCell ref="AE6:AE9"/>
    <mergeCell ref="G7:O7"/>
    <mergeCell ref="P7:X7"/>
    <mergeCell ref="P8:Q8"/>
    <mergeCell ref="D8:D9"/>
    <mergeCell ref="X8:X9"/>
    <mergeCell ref="AD6:AD9"/>
  </mergeCells>
  <pageMargins left="0.23622047244094491" right="0.23622047244094491" top="0" bottom="0" header="0" footer="0"/>
  <pageSetup paperSize="9" scale="38" orientation="landscape" r:id="rId1"/>
  <rowBreaks count="1" manualBreakCount="1">
    <brk id="46" max="3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7"/>
  <sheetViews>
    <sheetView zoomScale="70" zoomScaleNormal="70" zoomScaleSheetLayoutView="80" workbookViewId="0">
      <pane ySplit="9" topLeftCell="A10" activePane="bottomLeft" state="frozen"/>
      <selection pane="bottomLeft" activeCell="B19" sqref="B19"/>
    </sheetView>
  </sheetViews>
  <sheetFormatPr defaultRowHeight="15"/>
  <cols>
    <col min="1" max="1" width="7" customWidth="1"/>
    <col min="2" max="2" width="42.7109375" customWidth="1"/>
    <col min="3" max="3" width="27.28515625" customWidth="1"/>
    <col min="4" max="4" width="7.7109375" customWidth="1"/>
    <col min="5" max="5" width="11.5703125" customWidth="1"/>
    <col min="6" max="6" width="7.7109375" customWidth="1"/>
    <col min="7" max="24" width="6.5703125" customWidth="1"/>
    <col min="25" max="25" width="9.85546875" customWidth="1"/>
    <col min="26" max="29" width="6.7109375" customWidth="1"/>
    <col min="30" max="30" width="10.85546875" customWidth="1"/>
    <col min="31" max="31" width="8" customWidth="1"/>
  </cols>
  <sheetData>
    <row r="1" spans="1:31" s="39" customFormat="1" ht="36" customHeight="1">
      <c r="A1" s="550" t="s">
        <v>263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51"/>
      <c r="AA1" s="551"/>
      <c r="AB1" s="551"/>
      <c r="AC1" s="551"/>
      <c r="AD1" s="551"/>
      <c r="AE1" s="104"/>
    </row>
    <row r="2" spans="1:31" s="39" customFormat="1" ht="36" customHeight="1">
      <c r="A2" s="568" t="s">
        <v>112</v>
      </c>
      <c r="B2" s="568"/>
      <c r="C2" s="140" t="s">
        <v>113</v>
      </c>
      <c r="E2" s="128"/>
      <c r="F2" s="128"/>
      <c r="G2" s="128"/>
      <c r="H2" s="570" t="s">
        <v>148</v>
      </c>
      <c r="I2" s="570"/>
      <c r="J2" s="570"/>
      <c r="K2" s="570"/>
      <c r="L2" s="570"/>
      <c r="M2" s="570"/>
      <c r="N2" s="570"/>
      <c r="O2" s="570"/>
      <c r="P2" s="570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</row>
    <row r="3" spans="1:31" s="39" customFormat="1" ht="36" customHeight="1">
      <c r="A3" s="569" t="s">
        <v>111</v>
      </c>
      <c r="B3" s="569"/>
      <c r="C3" s="141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</row>
    <row r="4" spans="1:31" s="39" customFormat="1" ht="20.25" customHeight="1">
      <c r="A4" s="171"/>
      <c r="C4" s="142"/>
      <c r="D4" s="129"/>
      <c r="E4" s="130"/>
      <c r="F4" s="129"/>
      <c r="G4" s="130"/>
      <c r="H4" s="129"/>
      <c r="I4" s="130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</row>
    <row r="5" spans="1:31" ht="15" customHeight="1">
      <c r="A5" s="596"/>
      <c r="B5" s="597"/>
      <c r="C5" s="597"/>
      <c r="D5" s="597"/>
      <c r="E5" s="597"/>
      <c r="F5" s="598"/>
      <c r="G5" s="599" t="s">
        <v>103</v>
      </c>
      <c r="H5" s="599"/>
      <c r="I5" s="599"/>
      <c r="J5" s="599"/>
      <c r="K5" s="599"/>
      <c r="L5" s="599"/>
      <c r="M5" s="599"/>
      <c r="N5" s="599"/>
      <c r="O5" s="599"/>
      <c r="P5" s="599"/>
      <c r="Q5" s="599"/>
      <c r="R5" s="599"/>
      <c r="S5" s="599"/>
      <c r="T5" s="599"/>
      <c r="U5" s="599"/>
      <c r="V5" s="599"/>
      <c r="W5" s="599"/>
      <c r="X5" s="599"/>
      <c r="Y5" s="599"/>
      <c r="Z5" s="599"/>
      <c r="AA5" s="599"/>
      <c r="AB5" s="599"/>
      <c r="AC5" s="599"/>
      <c r="AD5" s="599"/>
      <c r="AE5" s="600"/>
    </row>
    <row r="6" spans="1:31" ht="15" customHeight="1">
      <c r="A6" s="583" t="s">
        <v>0</v>
      </c>
      <c r="B6" s="578" t="s">
        <v>4</v>
      </c>
      <c r="C6" s="578" t="s">
        <v>1</v>
      </c>
      <c r="D6" s="603" t="s">
        <v>8</v>
      </c>
      <c r="E6" s="603"/>
      <c r="F6" s="603"/>
      <c r="G6" s="624" t="s">
        <v>106</v>
      </c>
      <c r="H6" s="625"/>
      <c r="I6" s="625"/>
      <c r="J6" s="625"/>
      <c r="K6" s="625"/>
      <c r="L6" s="625"/>
      <c r="M6" s="625"/>
      <c r="N6" s="625"/>
      <c r="O6" s="625"/>
      <c r="P6" s="625"/>
      <c r="Q6" s="625"/>
      <c r="R6" s="625"/>
      <c r="S6" s="625"/>
      <c r="T6" s="625"/>
      <c r="U6" s="625"/>
      <c r="V6" s="625"/>
      <c r="W6" s="625"/>
      <c r="X6" s="626"/>
      <c r="Y6" s="561" t="s">
        <v>5</v>
      </c>
      <c r="Z6" s="561" t="s">
        <v>89</v>
      </c>
      <c r="AA6" s="561" t="s">
        <v>88</v>
      </c>
      <c r="AB6" s="561" t="s">
        <v>94</v>
      </c>
      <c r="AC6" s="561" t="s">
        <v>90</v>
      </c>
      <c r="AD6" s="561" t="s">
        <v>14</v>
      </c>
      <c r="AE6" s="561" t="s">
        <v>6</v>
      </c>
    </row>
    <row r="7" spans="1:31" ht="18.75" customHeight="1">
      <c r="A7" s="583"/>
      <c r="B7" s="578"/>
      <c r="C7" s="578"/>
      <c r="D7" s="603"/>
      <c r="E7" s="603"/>
      <c r="F7" s="603"/>
      <c r="G7" s="564" t="s">
        <v>97</v>
      </c>
      <c r="H7" s="577"/>
      <c r="I7" s="577"/>
      <c r="J7" s="577"/>
      <c r="K7" s="577"/>
      <c r="L7" s="577"/>
      <c r="M7" s="577"/>
      <c r="N7" s="577"/>
      <c r="O7" s="565"/>
      <c r="P7" s="558" t="s">
        <v>98</v>
      </c>
      <c r="Q7" s="559"/>
      <c r="R7" s="559"/>
      <c r="S7" s="559"/>
      <c r="T7" s="559"/>
      <c r="U7" s="559"/>
      <c r="V7" s="559"/>
      <c r="W7" s="559"/>
      <c r="X7" s="560"/>
      <c r="Y7" s="562"/>
      <c r="Z7" s="562"/>
      <c r="AA7" s="562"/>
      <c r="AB7" s="562"/>
      <c r="AC7" s="562"/>
      <c r="AD7" s="562"/>
      <c r="AE7" s="562"/>
    </row>
    <row r="8" spans="1:31" ht="21.75" customHeight="1">
      <c r="A8" s="584"/>
      <c r="B8" s="571"/>
      <c r="C8" s="571"/>
      <c r="D8" s="571" t="s">
        <v>2</v>
      </c>
      <c r="E8" s="571" t="s">
        <v>13</v>
      </c>
      <c r="F8" s="571" t="s">
        <v>12</v>
      </c>
      <c r="G8" s="564" t="s">
        <v>89</v>
      </c>
      <c r="H8" s="565"/>
      <c r="I8" s="564" t="s">
        <v>88</v>
      </c>
      <c r="J8" s="565"/>
      <c r="K8" s="564" t="s">
        <v>104</v>
      </c>
      <c r="L8" s="565"/>
      <c r="M8" s="564" t="s">
        <v>90</v>
      </c>
      <c r="N8" s="565"/>
      <c r="O8" s="566" t="s">
        <v>7</v>
      </c>
      <c r="P8" s="628" t="s">
        <v>89</v>
      </c>
      <c r="Q8" s="629"/>
      <c r="R8" s="628" t="s">
        <v>88</v>
      </c>
      <c r="S8" s="629"/>
      <c r="T8" s="628" t="s">
        <v>104</v>
      </c>
      <c r="U8" s="629"/>
      <c r="V8" s="628" t="s">
        <v>90</v>
      </c>
      <c r="W8" s="629"/>
      <c r="X8" s="574" t="s">
        <v>7</v>
      </c>
      <c r="Y8" s="562"/>
      <c r="Z8" s="562"/>
      <c r="AA8" s="562"/>
      <c r="AB8" s="562"/>
      <c r="AC8" s="562"/>
      <c r="AD8" s="562"/>
      <c r="AE8" s="562"/>
    </row>
    <row r="9" spans="1:31" ht="45" customHeight="1">
      <c r="A9" s="583"/>
      <c r="B9" s="578"/>
      <c r="C9" s="578"/>
      <c r="D9" s="605"/>
      <c r="E9" s="605"/>
      <c r="F9" s="605"/>
      <c r="G9" s="152" t="s">
        <v>15</v>
      </c>
      <c r="H9" s="152" t="s">
        <v>16</v>
      </c>
      <c r="I9" s="152" t="s">
        <v>15</v>
      </c>
      <c r="J9" s="152" t="s">
        <v>16</v>
      </c>
      <c r="K9" s="152" t="s">
        <v>15</v>
      </c>
      <c r="L9" s="152" t="s">
        <v>16</v>
      </c>
      <c r="M9" s="152" t="s">
        <v>15</v>
      </c>
      <c r="N9" s="152" t="s">
        <v>16</v>
      </c>
      <c r="O9" s="595"/>
      <c r="P9" s="157" t="s">
        <v>15</v>
      </c>
      <c r="Q9" s="157" t="s">
        <v>16</v>
      </c>
      <c r="R9" s="157" t="s">
        <v>15</v>
      </c>
      <c r="S9" s="157" t="s">
        <v>16</v>
      </c>
      <c r="T9" s="157" t="s">
        <v>15</v>
      </c>
      <c r="U9" s="157" t="s">
        <v>16</v>
      </c>
      <c r="V9" s="157" t="s">
        <v>15</v>
      </c>
      <c r="W9" s="157" t="s">
        <v>16</v>
      </c>
      <c r="X9" s="606"/>
      <c r="Y9" s="604"/>
      <c r="Z9" s="604"/>
      <c r="AA9" s="604"/>
      <c r="AB9" s="604"/>
      <c r="AC9" s="604"/>
      <c r="AD9" s="604"/>
      <c r="AE9" s="604"/>
    </row>
    <row r="10" spans="1:31" ht="15.75">
      <c r="A10" s="105" t="s">
        <v>23</v>
      </c>
      <c r="B10" s="106"/>
      <c r="C10" s="107"/>
      <c r="D10" s="106"/>
      <c r="E10" s="106"/>
      <c r="F10" s="106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9"/>
    </row>
    <row r="11" spans="1:31" ht="24.75" customHeight="1">
      <c r="A11" s="55">
        <v>2.6</v>
      </c>
      <c r="B11" s="102" t="s">
        <v>40</v>
      </c>
      <c r="C11" s="45" t="str">
        <f>RAZEM!C15</f>
        <v>0912-7LEK-B2.6-P</v>
      </c>
      <c r="D11" s="46">
        <v>6</v>
      </c>
      <c r="E11" s="112" t="s">
        <v>269</v>
      </c>
      <c r="F11" s="47"/>
      <c r="G11" s="136">
        <v>15</v>
      </c>
      <c r="H11" s="182">
        <v>10</v>
      </c>
      <c r="I11" s="136">
        <v>25</v>
      </c>
      <c r="J11" s="182">
        <v>25</v>
      </c>
      <c r="K11" s="136"/>
      <c r="L11" s="182"/>
      <c r="M11" s="136"/>
      <c r="N11" s="182"/>
      <c r="O11" s="136">
        <v>3</v>
      </c>
      <c r="P11" s="134">
        <v>25</v>
      </c>
      <c r="Q11" s="185">
        <v>25</v>
      </c>
      <c r="R11" s="134">
        <v>25</v>
      </c>
      <c r="S11" s="185">
        <v>25</v>
      </c>
      <c r="T11" s="134"/>
      <c r="U11" s="185"/>
      <c r="V11" s="134"/>
      <c r="W11" s="185"/>
      <c r="X11" s="134">
        <v>4</v>
      </c>
      <c r="Y11" s="48">
        <f>SUM(Z11:AC11)</f>
        <v>90</v>
      </c>
      <c r="Z11" s="48">
        <f>SUM(G11,P11)</f>
        <v>40</v>
      </c>
      <c r="AA11" s="48">
        <f>SUM(I11,R11)</f>
        <v>50</v>
      </c>
      <c r="AB11" s="48">
        <f>SUM(K11,T11)</f>
        <v>0</v>
      </c>
      <c r="AC11" s="48">
        <f>SUM(M11,V11)</f>
        <v>0</v>
      </c>
      <c r="AD11" s="48">
        <f>SUM(G11:N11,P11:W11)</f>
        <v>175</v>
      </c>
      <c r="AE11" s="48">
        <f>SUM(O11,X11)</f>
        <v>7</v>
      </c>
    </row>
    <row r="12" spans="1:31" ht="15.75">
      <c r="A12" s="580" t="s">
        <v>9</v>
      </c>
      <c r="B12" s="581"/>
      <c r="C12" s="581"/>
      <c r="D12" s="581"/>
      <c r="E12" s="581"/>
      <c r="F12" s="582"/>
      <c r="G12" s="114">
        <f t="shared" ref="G12:X12" si="0">SUM(G11:G11)</f>
        <v>15</v>
      </c>
      <c r="H12" s="189">
        <f t="shared" si="0"/>
        <v>10</v>
      </c>
      <c r="I12" s="114">
        <f t="shared" si="0"/>
        <v>25</v>
      </c>
      <c r="J12" s="189">
        <f t="shared" si="0"/>
        <v>25</v>
      </c>
      <c r="K12" s="114">
        <f t="shared" si="0"/>
        <v>0</v>
      </c>
      <c r="L12" s="189">
        <f t="shared" si="0"/>
        <v>0</v>
      </c>
      <c r="M12" s="114">
        <f t="shared" si="0"/>
        <v>0</v>
      </c>
      <c r="N12" s="189">
        <f t="shared" si="0"/>
        <v>0</v>
      </c>
      <c r="O12" s="114">
        <f t="shared" si="0"/>
        <v>3</v>
      </c>
      <c r="P12" s="114">
        <f t="shared" si="0"/>
        <v>25</v>
      </c>
      <c r="Q12" s="189">
        <f t="shared" si="0"/>
        <v>25</v>
      </c>
      <c r="R12" s="114">
        <f t="shared" si="0"/>
        <v>25</v>
      </c>
      <c r="S12" s="189">
        <f t="shared" si="0"/>
        <v>25</v>
      </c>
      <c r="T12" s="114">
        <f t="shared" si="0"/>
        <v>0</v>
      </c>
      <c r="U12" s="189">
        <f t="shared" si="0"/>
        <v>0</v>
      </c>
      <c r="V12" s="114">
        <f t="shared" si="0"/>
        <v>0</v>
      </c>
      <c r="W12" s="189">
        <f t="shared" si="0"/>
        <v>0</v>
      </c>
      <c r="X12" s="114">
        <f t="shared" si="0"/>
        <v>4</v>
      </c>
      <c r="Y12" s="114">
        <f>SUM(Y11:Y11)</f>
        <v>90</v>
      </c>
      <c r="Z12" s="114">
        <f t="shared" ref="Z12:AE12" si="1">SUM(Z11:Z11)</f>
        <v>40</v>
      </c>
      <c r="AA12" s="114">
        <f t="shared" si="1"/>
        <v>50</v>
      </c>
      <c r="AB12" s="114">
        <f t="shared" si="1"/>
        <v>0</v>
      </c>
      <c r="AC12" s="114">
        <f t="shared" si="1"/>
        <v>0</v>
      </c>
      <c r="AD12" s="114">
        <f t="shared" si="1"/>
        <v>175</v>
      </c>
      <c r="AE12" s="114">
        <f t="shared" si="1"/>
        <v>7</v>
      </c>
    </row>
    <row r="13" spans="1:31" ht="15.75">
      <c r="A13" s="50" t="s">
        <v>24</v>
      </c>
      <c r="B13" s="51"/>
      <c r="C13" s="52"/>
      <c r="D13" s="51"/>
      <c r="E13" s="115"/>
      <c r="F13" s="51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4"/>
    </row>
    <row r="14" spans="1:31" ht="22.5" customHeight="1">
      <c r="A14" s="43">
        <v>3.5</v>
      </c>
      <c r="B14" s="44" t="s">
        <v>45</v>
      </c>
      <c r="C14" s="45" t="str">
        <f>RAZEM!C24</f>
        <v>0912-7LEK-C3.5-P</v>
      </c>
      <c r="D14" s="46">
        <v>6</v>
      </c>
      <c r="E14" s="112" t="s">
        <v>269</v>
      </c>
      <c r="F14" s="47"/>
      <c r="G14" s="427">
        <v>25</v>
      </c>
      <c r="H14" s="435">
        <v>50</v>
      </c>
      <c r="I14" s="427">
        <v>50</v>
      </c>
      <c r="J14" s="435">
        <v>50</v>
      </c>
      <c r="K14" s="136"/>
      <c r="L14" s="182"/>
      <c r="M14" s="136"/>
      <c r="N14" s="182"/>
      <c r="O14" s="427">
        <v>7</v>
      </c>
      <c r="P14" s="426">
        <v>25</v>
      </c>
      <c r="Q14" s="477">
        <v>45</v>
      </c>
      <c r="R14" s="426">
        <v>50</v>
      </c>
      <c r="S14" s="477">
        <v>30</v>
      </c>
      <c r="T14" s="422"/>
      <c r="U14" s="422"/>
      <c r="V14" s="422"/>
      <c r="W14" s="422"/>
      <c r="X14" s="426">
        <v>6</v>
      </c>
      <c r="Y14" s="48">
        <f>SUM(Z14:AC14)</f>
        <v>150</v>
      </c>
      <c r="Z14" s="48">
        <f>G14+P14</f>
        <v>50</v>
      </c>
      <c r="AA14" s="48">
        <f>I14+R14</f>
        <v>100</v>
      </c>
      <c r="AB14" s="48">
        <f>SUM(K14,T14)</f>
        <v>0</v>
      </c>
      <c r="AC14" s="48">
        <f>SUM(M14,V14)</f>
        <v>0</v>
      </c>
      <c r="AD14" s="48">
        <f>SUM(G14:N14,P14:W14)</f>
        <v>325</v>
      </c>
      <c r="AE14" s="48">
        <f>O14+X14</f>
        <v>13</v>
      </c>
    </row>
    <row r="15" spans="1:31" ht="22.5" customHeight="1">
      <c r="A15" s="55">
        <v>3.6</v>
      </c>
      <c r="B15" s="44" t="s">
        <v>46</v>
      </c>
      <c r="C15" s="45" t="str">
        <f>RAZEM!C25</f>
        <v>0912-7LEK-C3.6-F</v>
      </c>
      <c r="D15" s="46">
        <v>6</v>
      </c>
      <c r="E15" s="112" t="s">
        <v>269</v>
      </c>
      <c r="F15" s="47"/>
      <c r="G15" s="427">
        <v>25</v>
      </c>
      <c r="H15" s="435">
        <v>50</v>
      </c>
      <c r="I15" s="427">
        <v>45</v>
      </c>
      <c r="J15" s="435">
        <v>30</v>
      </c>
      <c r="K15" s="173"/>
      <c r="L15" s="173"/>
      <c r="M15" s="173"/>
      <c r="N15" s="173"/>
      <c r="O15" s="427">
        <v>6</v>
      </c>
      <c r="P15" s="426">
        <v>25</v>
      </c>
      <c r="Q15" s="477">
        <v>50</v>
      </c>
      <c r="R15" s="426">
        <v>45</v>
      </c>
      <c r="S15" s="477">
        <v>30</v>
      </c>
      <c r="T15" s="134"/>
      <c r="U15" s="185"/>
      <c r="V15" s="134"/>
      <c r="W15" s="185"/>
      <c r="X15" s="426">
        <v>6</v>
      </c>
      <c r="Y15" s="48">
        <f>SUM(Z15:AC15)</f>
        <v>140</v>
      </c>
      <c r="Z15" s="48">
        <f>SUM(G15,P15)</f>
        <v>50</v>
      </c>
      <c r="AA15" s="48">
        <f>SUM(I15,R15)</f>
        <v>90</v>
      </c>
      <c r="AB15" s="48">
        <f>SUM(K15,T15)</f>
        <v>0</v>
      </c>
      <c r="AC15" s="48">
        <f>SUM(M15,V15)</f>
        <v>0</v>
      </c>
      <c r="AD15" s="48">
        <f>SUM(G15:N15,P15:W15)</f>
        <v>300</v>
      </c>
      <c r="AE15" s="48">
        <f>SUM(O15,X15)</f>
        <v>12</v>
      </c>
    </row>
    <row r="16" spans="1:31" ht="15.75">
      <c r="A16" s="580" t="s">
        <v>9</v>
      </c>
      <c r="B16" s="581"/>
      <c r="C16" s="581"/>
      <c r="D16" s="581"/>
      <c r="E16" s="581"/>
      <c r="F16" s="582"/>
      <c r="G16" s="56">
        <f t="shared" ref="G16:AE16" si="2">SUM(G14:G15)</f>
        <v>50</v>
      </c>
      <c r="H16" s="183">
        <f t="shared" si="2"/>
        <v>100</v>
      </c>
      <c r="I16" s="56">
        <f t="shared" si="2"/>
        <v>95</v>
      </c>
      <c r="J16" s="482">
        <f t="shared" si="2"/>
        <v>80</v>
      </c>
      <c r="K16" s="56">
        <f t="shared" si="2"/>
        <v>0</v>
      </c>
      <c r="L16" s="183">
        <f t="shared" si="2"/>
        <v>0</v>
      </c>
      <c r="M16" s="56">
        <f t="shared" si="2"/>
        <v>0</v>
      </c>
      <c r="N16" s="183">
        <f t="shared" si="2"/>
        <v>0</v>
      </c>
      <c r="O16" s="56">
        <f t="shared" si="2"/>
        <v>13</v>
      </c>
      <c r="P16" s="447">
        <f t="shared" si="2"/>
        <v>50</v>
      </c>
      <c r="Q16" s="183">
        <f t="shared" si="2"/>
        <v>95</v>
      </c>
      <c r="R16" s="447">
        <f t="shared" si="2"/>
        <v>95</v>
      </c>
      <c r="S16" s="183">
        <f t="shared" si="2"/>
        <v>60</v>
      </c>
      <c r="T16" s="56">
        <f t="shared" si="2"/>
        <v>0</v>
      </c>
      <c r="U16" s="183">
        <f t="shared" si="2"/>
        <v>0</v>
      </c>
      <c r="V16" s="56">
        <f t="shared" si="2"/>
        <v>0</v>
      </c>
      <c r="W16" s="183">
        <f t="shared" si="2"/>
        <v>0</v>
      </c>
      <c r="X16" s="447">
        <f t="shared" si="2"/>
        <v>12</v>
      </c>
      <c r="Y16" s="56">
        <f t="shared" si="2"/>
        <v>290</v>
      </c>
      <c r="Z16" s="56">
        <f t="shared" si="2"/>
        <v>100</v>
      </c>
      <c r="AA16" s="56">
        <f t="shared" si="2"/>
        <v>190</v>
      </c>
      <c r="AB16" s="56">
        <f t="shared" si="2"/>
        <v>0</v>
      </c>
      <c r="AC16" s="56">
        <f t="shared" si="2"/>
        <v>0</v>
      </c>
      <c r="AD16" s="56">
        <f t="shared" si="2"/>
        <v>625</v>
      </c>
      <c r="AE16" s="56">
        <f t="shared" si="2"/>
        <v>25</v>
      </c>
    </row>
    <row r="17" spans="1:31" ht="15.75">
      <c r="A17" s="50" t="s">
        <v>25</v>
      </c>
      <c r="B17" s="51"/>
      <c r="C17" s="52"/>
      <c r="D17" s="51"/>
      <c r="E17" s="115"/>
      <c r="F17" s="51"/>
      <c r="G17" s="53"/>
      <c r="H17" s="53"/>
      <c r="I17" s="53"/>
      <c r="J17" s="53"/>
      <c r="K17" s="53"/>
      <c r="L17" s="53"/>
      <c r="M17" s="53"/>
      <c r="N17" s="53"/>
      <c r="O17" s="53"/>
      <c r="P17" s="484"/>
      <c r="Q17" s="53"/>
      <c r="R17" s="484"/>
      <c r="S17" s="53"/>
      <c r="T17" s="53"/>
      <c r="U17" s="53"/>
      <c r="V17" s="53"/>
      <c r="W17" s="53"/>
      <c r="X17" s="484"/>
      <c r="Y17" s="53"/>
      <c r="Z17" s="53"/>
      <c r="AA17" s="53"/>
      <c r="AB17" s="53"/>
      <c r="AC17" s="53"/>
      <c r="AD17" s="53"/>
      <c r="AE17" s="54"/>
    </row>
    <row r="18" spans="1:31" ht="33.75" customHeight="1">
      <c r="A18" s="57">
        <v>5.0999999999999996</v>
      </c>
      <c r="B18" s="100" t="s">
        <v>51</v>
      </c>
      <c r="C18" s="45" t="str">
        <f>RAZEM!C35</f>
        <v>0912-7LEK-C5.1-P</v>
      </c>
      <c r="D18" s="46">
        <v>11</v>
      </c>
      <c r="E18" s="167" t="s">
        <v>359</v>
      </c>
      <c r="F18" s="47"/>
      <c r="G18" s="136">
        <v>15</v>
      </c>
      <c r="H18" s="182">
        <v>5</v>
      </c>
      <c r="I18" s="136">
        <v>15</v>
      </c>
      <c r="J18" s="182">
        <v>15</v>
      </c>
      <c r="K18" s="136">
        <v>25</v>
      </c>
      <c r="L18" s="182"/>
      <c r="M18" s="136"/>
      <c r="N18" s="182"/>
      <c r="O18" s="136">
        <v>3</v>
      </c>
      <c r="P18" s="426"/>
      <c r="Q18" s="471"/>
      <c r="R18" s="426"/>
      <c r="S18" s="471"/>
      <c r="T18" s="471"/>
      <c r="U18" s="185"/>
      <c r="V18" s="134"/>
      <c r="W18" s="185"/>
      <c r="X18" s="426"/>
      <c r="Y18" s="48">
        <f>SUM(Z18:AC18)</f>
        <v>55</v>
      </c>
      <c r="Z18" s="48">
        <f>SUM(G18,P18)</f>
        <v>15</v>
      </c>
      <c r="AA18" s="48">
        <f>SUM(I18,R18)</f>
        <v>15</v>
      </c>
      <c r="AB18" s="48">
        <f>SUM(K18,T18)</f>
        <v>25</v>
      </c>
      <c r="AC18" s="48">
        <f>SUM(M18,V18)</f>
        <v>0</v>
      </c>
      <c r="AD18" s="48">
        <f>SUM(G18:N18,P18:W18)</f>
        <v>75</v>
      </c>
      <c r="AE18" s="48">
        <f>SUM(O18,X18)</f>
        <v>3</v>
      </c>
    </row>
    <row r="19" spans="1:31" ht="33.75" customHeight="1">
      <c r="A19" s="57">
        <v>5.2</v>
      </c>
      <c r="B19" s="100" t="s">
        <v>80</v>
      </c>
      <c r="C19" s="45" t="str">
        <f>RAZEM!C36</f>
        <v>0912-7LEK-C5.2-CW</v>
      </c>
      <c r="D19" s="472">
        <v>11</v>
      </c>
      <c r="E19" s="167" t="s">
        <v>354</v>
      </c>
      <c r="F19" s="473"/>
      <c r="G19" s="136"/>
      <c r="H19" s="182"/>
      <c r="I19" s="136"/>
      <c r="J19" s="182"/>
      <c r="K19" s="136"/>
      <c r="L19" s="182"/>
      <c r="M19" s="136"/>
      <c r="N19" s="182"/>
      <c r="O19" s="136"/>
      <c r="P19" s="426">
        <v>15</v>
      </c>
      <c r="Q19" s="477">
        <v>10</v>
      </c>
      <c r="R19" s="426">
        <v>10</v>
      </c>
      <c r="S19" s="477">
        <v>0</v>
      </c>
      <c r="T19" s="426">
        <v>15</v>
      </c>
      <c r="U19" s="422"/>
      <c r="V19" s="422"/>
      <c r="W19" s="422"/>
      <c r="X19" s="426">
        <v>2</v>
      </c>
      <c r="Y19" s="48">
        <f t="shared" ref="Y19:Y22" si="3">SUM(Z19:AC19)</f>
        <v>40</v>
      </c>
      <c r="Z19" s="48">
        <f>G19+P19</f>
        <v>15</v>
      </c>
      <c r="AA19" s="48">
        <f>I19+R19</f>
        <v>10</v>
      </c>
      <c r="AB19" s="48">
        <f>K19+T19</f>
        <v>15</v>
      </c>
      <c r="AC19" s="48">
        <f>M19+V19</f>
        <v>0</v>
      </c>
      <c r="AD19" s="48">
        <f>SUM(G19:N19,P19:W19)</f>
        <v>50</v>
      </c>
      <c r="AE19" s="48">
        <f>O19+X19</f>
        <v>2</v>
      </c>
    </row>
    <row r="20" spans="1:31" ht="39" customHeight="1">
      <c r="A20" s="57" t="s">
        <v>342</v>
      </c>
      <c r="B20" s="100" t="s">
        <v>343</v>
      </c>
      <c r="C20" s="45" t="str">
        <f>RAZEM!C36</f>
        <v>0912-7LEK-C5.2-CW</v>
      </c>
      <c r="D20" s="464">
        <v>11</v>
      </c>
      <c r="E20" s="483" t="s">
        <v>145</v>
      </c>
      <c r="F20" s="47"/>
      <c r="G20" s="136">
        <v>15</v>
      </c>
      <c r="H20" s="182">
        <v>5</v>
      </c>
      <c r="I20" s="136">
        <v>15</v>
      </c>
      <c r="J20" s="182">
        <v>15</v>
      </c>
      <c r="K20" s="136">
        <v>25</v>
      </c>
      <c r="L20" s="182"/>
      <c r="M20" s="136"/>
      <c r="N20" s="182"/>
      <c r="O20" s="136">
        <v>3</v>
      </c>
      <c r="P20" s="426"/>
      <c r="Q20" s="422"/>
      <c r="R20" s="422"/>
      <c r="S20" s="422"/>
      <c r="T20" s="422"/>
      <c r="U20" s="422"/>
      <c r="V20" s="422"/>
      <c r="W20" s="422"/>
      <c r="X20" s="426"/>
      <c r="Y20" s="48">
        <f t="shared" si="3"/>
        <v>55</v>
      </c>
      <c r="Z20" s="48">
        <f>SUM(G20,P20)</f>
        <v>15</v>
      </c>
      <c r="AA20" s="48">
        <f>SUM(I20,R20)</f>
        <v>15</v>
      </c>
      <c r="AB20" s="48">
        <f>SUM(K20,T20)</f>
        <v>25</v>
      </c>
      <c r="AC20" s="48">
        <f>SUM(M20,V20)</f>
        <v>0</v>
      </c>
      <c r="AD20" s="48">
        <f>SUM(G20:N20,P20:W20)</f>
        <v>75</v>
      </c>
      <c r="AE20" s="48">
        <f>SUM(O20,X20)</f>
        <v>3</v>
      </c>
    </row>
    <row r="21" spans="1:31" ht="31.5" customHeight="1">
      <c r="A21" s="57">
        <v>5.8</v>
      </c>
      <c r="B21" s="100" t="s">
        <v>57</v>
      </c>
      <c r="C21" s="45" t="str">
        <f>RAZEM!C42</f>
        <v>0912-7LEK-C5.8-DiW</v>
      </c>
      <c r="D21" s="116">
        <v>6</v>
      </c>
      <c r="E21" s="117">
        <v>6</v>
      </c>
      <c r="F21" s="117"/>
      <c r="G21" s="136"/>
      <c r="H21" s="182"/>
      <c r="I21" s="136"/>
      <c r="J21" s="182"/>
      <c r="K21" s="136"/>
      <c r="L21" s="182"/>
      <c r="M21" s="136"/>
      <c r="N21" s="182"/>
      <c r="O21" s="136"/>
      <c r="P21" s="134">
        <v>15</v>
      </c>
      <c r="Q21" s="185">
        <v>5</v>
      </c>
      <c r="R21" s="134">
        <v>15</v>
      </c>
      <c r="S21" s="185">
        <v>15</v>
      </c>
      <c r="T21" s="134">
        <v>25</v>
      </c>
      <c r="U21" s="185"/>
      <c r="V21" s="134"/>
      <c r="W21" s="185"/>
      <c r="X21" s="134">
        <v>3</v>
      </c>
      <c r="Y21" s="48">
        <f t="shared" si="3"/>
        <v>55</v>
      </c>
      <c r="Z21" s="48">
        <f>SUM(G21,P21)</f>
        <v>15</v>
      </c>
      <c r="AA21" s="48">
        <f>SUM(I21,R21)</f>
        <v>15</v>
      </c>
      <c r="AB21" s="48">
        <f>SUM(K21,T21)</f>
        <v>25</v>
      </c>
      <c r="AC21" s="48">
        <f>SUM(M21,V21)</f>
        <v>0</v>
      </c>
      <c r="AD21" s="48">
        <f>SUM(G21:N21,P21:W21)</f>
        <v>75</v>
      </c>
      <c r="AE21" s="48">
        <f>SUM(O21,X21)</f>
        <v>3</v>
      </c>
    </row>
    <row r="22" spans="1:31" ht="27.75" customHeight="1">
      <c r="A22" s="99">
        <v>5.1100000000000003</v>
      </c>
      <c r="B22" s="100" t="s">
        <v>60</v>
      </c>
      <c r="C22" s="45" t="str">
        <f>RAZEM!C45</f>
        <v>0912-7LEK-C5.11-DL</v>
      </c>
      <c r="D22" s="46">
        <v>5</v>
      </c>
      <c r="E22" s="47">
        <v>5</v>
      </c>
      <c r="F22" s="47"/>
      <c r="G22" s="136">
        <v>15</v>
      </c>
      <c r="H22" s="182">
        <v>15</v>
      </c>
      <c r="I22" s="136">
        <v>40</v>
      </c>
      <c r="J22" s="182">
        <v>30</v>
      </c>
      <c r="K22" s="136"/>
      <c r="L22" s="182"/>
      <c r="M22" s="136"/>
      <c r="N22" s="182"/>
      <c r="O22" s="136">
        <v>4</v>
      </c>
      <c r="P22" s="134"/>
      <c r="Q22" s="185"/>
      <c r="R22" s="134"/>
      <c r="S22" s="185"/>
      <c r="T22" s="134"/>
      <c r="U22" s="185"/>
      <c r="V22" s="134"/>
      <c r="W22" s="185"/>
      <c r="X22" s="134"/>
      <c r="Y22" s="48">
        <f t="shared" si="3"/>
        <v>55</v>
      </c>
      <c r="Z22" s="48">
        <f>SUM(G22,P22)</f>
        <v>15</v>
      </c>
      <c r="AA22" s="48">
        <f>SUM(I22,R22)</f>
        <v>40</v>
      </c>
      <c r="AB22" s="48">
        <f>SUM(K22,T22)</f>
        <v>0</v>
      </c>
      <c r="AC22" s="48">
        <f>SUM(M22,V22)</f>
        <v>0</v>
      </c>
      <c r="AD22" s="48">
        <f>SUM(G22:N22,P22:W22)</f>
        <v>100</v>
      </c>
      <c r="AE22" s="48">
        <f>SUM(O22,X22)</f>
        <v>4</v>
      </c>
    </row>
    <row r="23" spans="1:31" ht="15.75">
      <c r="A23" s="580" t="s">
        <v>9</v>
      </c>
      <c r="B23" s="581"/>
      <c r="C23" s="581"/>
      <c r="D23" s="581"/>
      <c r="E23" s="581"/>
      <c r="F23" s="582"/>
      <c r="G23" s="56">
        <f t="shared" ref="G23:X23" si="4">SUM(G18:G22)</f>
        <v>45</v>
      </c>
      <c r="H23" s="183">
        <f t="shared" si="4"/>
        <v>25</v>
      </c>
      <c r="I23" s="56">
        <f t="shared" si="4"/>
        <v>70</v>
      </c>
      <c r="J23" s="183">
        <f t="shared" si="4"/>
        <v>60</v>
      </c>
      <c r="K23" s="56">
        <f t="shared" si="4"/>
        <v>50</v>
      </c>
      <c r="L23" s="183">
        <f t="shared" si="4"/>
        <v>0</v>
      </c>
      <c r="M23" s="56">
        <f t="shared" si="4"/>
        <v>0</v>
      </c>
      <c r="N23" s="183">
        <f t="shared" si="4"/>
        <v>0</v>
      </c>
      <c r="O23" s="56">
        <f t="shared" si="4"/>
        <v>10</v>
      </c>
      <c r="P23" s="56">
        <f t="shared" si="4"/>
        <v>30</v>
      </c>
      <c r="Q23" s="183">
        <f t="shared" si="4"/>
        <v>15</v>
      </c>
      <c r="R23" s="56">
        <f t="shared" si="4"/>
        <v>25</v>
      </c>
      <c r="S23" s="183">
        <f t="shared" si="4"/>
        <v>15</v>
      </c>
      <c r="T23" s="56">
        <f t="shared" si="4"/>
        <v>40</v>
      </c>
      <c r="U23" s="183">
        <f t="shared" si="4"/>
        <v>0</v>
      </c>
      <c r="V23" s="56">
        <f t="shared" si="4"/>
        <v>0</v>
      </c>
      <c r="W23" s="183">
        <f t="shared" si="4"/>
        <v>0</v>
      </c>
      <c r="X23" s="56">
        <f t="shared" si="4"/>
        <v>5</v>
      </c>
      <c r="Y23" s="56">
        <f>SUM(Y18:Y22)</f>
        <v>260</v>
      </c>
      <c r="Z23" s="56">
        <f t="shared" ref="Z23:AE23" si="5">SUM(Z18:Z22)</f>
        <v>75</v>
      </c>
      <c r="AA23" s="56">
        <f t="shared" si="5"/>
        <v>95</v>
      </c>
      <c r="AB23" s="56">
        <f t="shared" si="5"/>
        <v>90</v>
      </c>
      <c r="AC23" s="56">
        <f t="shared" si="5"/>
        <v>0</v>
      </c>
      <c r="AD23" s="56">
        <f t="shared" si="5"/>
        <v>375</v>
      </c>
      <c r="AE23" s="56">
        <f t="shared" si="5"/>
        <v>15</v>
      </c>
    </row>
    <row r="24" spans="1:31" ht="15.75">
      <c r="A24" s="50" t="s">
        <v>26</v>
      </c>
      <c r="B24" s="51"/>
      <c r="C24" s="52"/>
      <c r="D24" s="51"/>
      <c r="E24" s="51"/>
      <c r="F24" s="51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4"/>
    </row>
    <row r="25" spans="1:31" ht="30.75" customHeight="1">
      <c r="A25" s="57">
        <v>6.2</v>
      </c>
      <c r="B25" s="100" t="s">
        <v>63</v>
      </c>
      <c r="C25" s="45" t="str">
        <f>"0912-7LEK-C"&amp;A25&amp;"-"&amp;UPPER(LEFT(B25,1))</f>
        <v>0912-7LEK-C6.2-C</v>
      </c>
      <c r="D25" s="46">
        <v>12</v>
      </c>
      <c r="E25" s="167" t="s">
        <v>360</v>
      </c>
      <c r="F25" s="47"/>
      <c r="G25" s="136">
        <v>15</v>
      </c>
      <c r="H25" s="182">
        <v>5</v>
      </c>
      <c r="I25" s="136">
        <v>15</v>
      </c>
      <c r="J25" s="182">
        <v>15</v>
      </c>
      <c r="K25" s="136"/>
      <c r="L25" s="182"/>
      <c r="M25" s="136"/>
      <c r="N25" s="182"/>
      <c r="O25" s="136">
        <v>2</v>
      </c>
      <c r="P25" s="134">
        <v>15</v>
      </c>
      <c r="Q25" s="185">
        <v>5</v>
      </c>
      <c r="R25" s="134">
        <v>15</v>
      </c>
      <c r="S25" s="185">
        <v>15</v>
      </c>
      <c r="T25" s="134"/>
      <c r="U25" s="185"/>
      <c r="V25" s="134"/>
      <c r="W25" s="185"/>
      <c r="X25" s="134">
        <v>2</v>
      </c>
      <c r="Y25" s="48">
        <f>SUM(Z25:AC25)</f>
        <v>60</v>
      </c>
      <c r="Z25" s="48">
        <f>SUM(G25,P25)</f>
        <v>30</v>
      </c>
      <c r="AA25" s="48">
        <f>SUM(I25,R25)</f>
        <v>30</v>
      </c>
      <c r="AB25" s="48">
        <f>SUM(K25,T25)</f>
        <v>0</v>
      </c>
      <c r="AC25" s="48">
        <f>SUM(M25,V25)</f>
        <v>0</v>
      </c>
      <c r="AD25" s="48">
        <f>SUM(G25:N25,P25:W25)</f>
        <v>100</v>
      </c>
      <c r="AE25" s="48">
        <f>SUM(O25,X25)</f>
        <v>4</v>
      </c>
    </row>
    <row r="26" spans="1:31" ht="15.75">
      <c r="A26" s="580" t="s">
        <v>9</v>
      </c>
      <c r="B26" s="581"/>
      <c r="C26" s="581"/>
      <c r="D26" s="581"/>
      <c r="E26" s="581"/>
      <c r="F26" s="582"/>
      <c r="G26" s="56">
        <f t="shared" ref="G26:X26" si="6">SUM(G25:G25)</f>
        <v>15</v>
      </c>
      <c r="H26" s="183">
        <f t="shared" si="6"/>
        <v>5</v>
      </c>
      <c r="I26" s="56">
        <f t="shared" si="6"/>
        <v>15</v>
      </c>
      <c r="J26" s="183">
        <f t="shared" si="6"/>
        <v>15</v>
      </c>
      <c r="K26" s="56">
        <f t="shared" si="6"/>
        <v>0</v>
      </c>
      <c r="L26" s="183">
        <f t="shared" si="6"/>
        <v>0</v>
      </c>
      <c r="M26" s="56">
        <f t="shared" si="6"/>
        <v>0</v>
      </c>
      <c r="N26" s="183">
        <f t="shared" si="6"/>
        <v>0</v>
      </c>
      <c r="O26" s="56">
        <f t="shared" si="6"/>
        <v>2</v>
      </c>
      <c r="P26" s="56">
        <f t="shared" si="6"/>
        <v>15</v>
      </c>
      <c r="Q26" s="183">
        <f t="shared" si="6"/>
        <v>5</v>
      </c>
      <c r="R26" s="56">
        <f t="shared" si="6"/>
        <v>15</v>
      </c>
      <c r="S26" s="183">
        <f t="shared" si="6"/>
        <v>15</v>
      </c>
      <c r="T26" s="56">
        <f t="shared" si="6"/>
        <v>0</v>
      </c>
      <c r="U26" s="183">
        <f t="shared" si="6"/>
        <v>0</v>
      </c>
      <c r="V26" s="56">
        <f t="shared" si="6"/>
        <v>0</v>
      </c>
      <c r="W26" s="183">
        <f t="shared" si="6"/>
        <v>0</v>
      </c>
      <c r="X26" s="56">
        <f t="shared" si="6"/>
        <v>2</v>
      </c>
      <c r="Y26" s="56">
        <f>SUM(Y25:Y25)</f>
        <v>60</v>
      </c>
      <c r="Z26" s="56">
        <f t="shared" ref="Z26:AE26" si="7">SUM(Z25:Z25)</f>
        <v>30</v>
      </c>
      <c r="AA26" s="56">
        <f t="shared" si="7"/>
        <v>30</v>
      </c>
      <c r="AB26" s="56">
        <f t="shared" si="7"/>
        <v>0</v>
      </c>
      <c r="AC26" s="56">
        <f t="shared" si="7"/>
        <v>0</v>
      </c>
      <c r="AD26" s="56">
        <f t="shared" si="7"/>
        <v>100</v>
      </c>
      <c r="AE26" s="56">
        <f t="shared" si="7"/>
        <v>4</v>
      </c>
    </row>
    <row r="27" spans="1:31" ht="15.75">
      <c r="A27" s="50" t="s">
        <v>29</v>
      </c>
      <c r="B27" s="51"/>
      <c r="C27" s="52"/>
      <c r="D27" s="51"/>
      <c r="E27" s="51"/>
      <c r="F27" s="51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4"/>
    </row>
    <row r="28" spans="1:31" ht="25.5" customHeight="1">
      <c r="A28" s="57">
        <v>9.4</v>
      </c>
      <c r="B28" s="59" t="s">
        <v>80</v>
      </c>
      <c r="C28" s="45" t="str">
        <f>"0912-7LEK-C"&amp;A28&amp;"-"&amp;UPPER(LEFT(B28,1))</f>
        <v>0912-7LEK-C9.4-C</v>
      </c>
      <c r="D28" s="46"/>
      <c r="E28" s="47">
        <v>6</v>
      </c>
      <c r="F28" s="47"/>
      <c r="G28" s="136"/>
      <c r="H28" s="182"/>
      <c r="I28" s="136"/>
      <c r="J28" s="182"/>
      <c r="K28" s="136"/>
      <c r="L28" s="182"/>
      <c r="M28" s="136"/>
      <c r="N28" s="182"/>
      <c r="O28" s="136"/>
      <c r="P28" s="134"/>
      <c r="Q28" s="185"/>
      <c r="R28" s="134">
        <v>120</v>
      </c>
      <c r="S28" s="185"/>
      <c r="T28" s="134"/>
      <c r="U28" s="185"/>
      <c r="V28" s="134"/>
      <c r="W28" s="185"/>
      <c r="X28" s="134">
        <v>4</v>
      </c>
      <c r="Y28" s="48">
        <f>SUM(Z28:AC28)</f>
        <v>120</v>
      </c>
      <c r="Z28" s="48">
        <f>SUM(G28,P28)</f>
        <v>0</v>
      </c>
      <c r="AA28" s="48">
        <f>SUM(I28,R28)</f>
        <v>120</v>
      </c>
      <c r="AB28" s="48">
        <f>SUM(K28,T28)</f>
        <v>0</v>
      </c>
      <c r="AC28" s="48">
        <f>SUM(M28,V28)</f>
        <v>0</v>
      </c>
      <c r="AD28" s="48">
        <f>SUM(G28:N28,P28:W28)</f>
        <v>120</v>
      </c>
      <c r="AE28" s="48">
        <f>SUM(O28,X28)</f>
        <v>4</v>
      </c>
    </row>
    <row r="29" spans="1:31" ht="15.75">
      <c r="A29" s="580" t="s">
        <v>9</v>
      </c>
      <c r="B29" s="581"/>
      <c r="C29" s="581"/>
      <c r="D29" s="581"/>
      <c r="E29" s="581"/>
      <c r="F29" s="582"/>
      <c r="G29" s="56">
        <f t="shared" ref="G29:X29" si="8">SUM(G28:G28)</f>
        <v>0</v>
      </c>
      <c r="H29" s="183">
        <f t="shared" si="8"/>
        <v>0</v>
      </c>
      <c r="I29" s="56">
        <f t="shared" si="8"/>
        <v>0</v>
      </c>
      <c r="J29" s="183">
        <f t="shared" si="8"/>
        <v>0</v>
      </c>
      <c r="K29" s="56">
        <f t="shared" si="8"/>
        <v>0</v>
      </c>
      <c r="L29" s="183">
        <f t="shared" si="8"/>
        <v>0</v>
      </c>
      <c r="M29" s="56">
        <f t="shared" si="8"/>
        <v>0</v>
      </c>
      <c r="N29" s="183">
        <f t="shared" si="8"/>
        <v>0</v>
      </c>
      <c r="O29" s="56">
        <f t="shared" si="8"/>
        <v>0</v>
      </c>
      <c r="P29" s="56">
        <f t="shared" si="8"/>
        <v>0</v>
      </c>
      <c r="Q29" s="183">
        <f t="shared" si="8"/>
        <v>0</v>
      </c>
      <c r="R29" s="56">
        <f t="shared" si="8"/>
        <v>120</v>
      </c>
      <c r="S29" s="183">
        <f t="shared" si="8"/>
        <v>0</v>
      </c>
      <c r="T29" s="56">
        <f t="shared" si="8"/>
        <v>0</v>
      </c>
      <c r="U29" s="183">
        <f t="shared" si="8"/>
        <v>0</v>
      </c>
      <c r="V29" s="56">
        <f t="shared" si="8"/>
        <v>0</v>
      </c>
      <c r="W29" s="183">
        <f t="shared" si="8"/>
        <v>0</v>
      </c>
      <c r="X29" s="56">
        <f t="shared" si="8"/>
        <v>4</v>
      </c>
      <c r="Y29" s="56">
        <f>SUM(Y28:Y28)</f>
        <v>120</v>
      </c>
      <c r="Z29" s="56">
        <f t="shared" ref="Z29:AE29" si="9">SUM(Z28:Z28)</f>
        <v>0</v>
      </c>
      <c r="AA29" s="56">
        <f t="shared" si="9"/>
        <v>120</v>
      </c>
      <c r="AB29" s="56">
        <f t="shared" si="9"/>
        <v>0</v>
      </c>
      <c r="AC29" s="56">
        <f t="shared" si="9"/>
        <v>0</v>
      </c>
      <c r="AD29" s="56">
        <f t="shared" si="9"/>
        <v>120</v>
      </c>
      <c r="AE29" s="56">
        <f t="shared" si="9"/>
        <v>4</v>
      </c>
    </row>
    <row r="30" spans="1:31" ht="15.75">
      <c r="A30" s="50" t="s">
        <v>311</v>
      </c>
      <c r="B30" s="51"/>
      <c r="C30" s="52"/>
      <c r="D30" s="115"/>
      <c r="E30" s="115"/>
      <c r="F30" s="115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4"/>
    </row>
    <row r="31" spans="1:31" ht="26.25" customHeight="1">
      <c r="A31" s="150">
        <v>11.3</v>
      </c>
      <c r="B31" s="60" t="s">
        <v>109</v>
      </c>
      <c r="C31" s="45" t="str">
        <f>"0912-7LEK-A"&amp;A31&amp;"-"&amp;UPPER(LEFT(B31,1))&amp;"F"</f>
        <v>0912-7LEK-A11.3-WF</v>
      </c>
      <c r="D31" s="123"/>
      <c r="E31" s="124"/>
      <c r="F31" s="167" t="s">
        <v>123</v>
      </c>
      <c r="G31" s="136"/>
      <c r="H31" s="182"/>
      <c r="I31" s="136">
        <v>15</v>
      </c>
      <c r="J31" s="182"/>
      <c r="K31" s="136"/>
      <c r="L31" s="182"/>
      <c r="M31" s="136"/>
      <c r="N31" s="182"/>
      <c r="O31" s="136">
        <v>0</v>
      </c>
      <c r="P31" s="134"/>
      <c r="Q31" s="185"/>
      <c r="R31" s="134">
        <v>15</v>
      </c>
      <c r="S31" s="185"/>
      <c r="T31" s="134"/>
      <c r="U31" s="185"/>
      <c r="V31" s="134"/>
      <c r="W31" s="185"/>
      <c r="X31" s="134">
        <v>0</v>
      </c>
      <c r="Y31" s="113">
        <f>SUM(Z31:AC31)</f>
        <v>30</v>
      </c>
      <c r="Z31" s="113">
        <f>SUM(G31,P31)</f>
        <v>0</v>
      </c>
      <c r="AA31" s="113">
        <f>SUM(I31,R31)</f>
        <v>30</v>
      </c>
      <c r="AB31" s="113">
        <f>SUM(K31,T31)</f>
        <v>0</v>
      </c>
      <c r="AC31" s="113">
        <f>SUM(M31,V31)</f>
        <v>0</v>
      </c>
      <c r="AD31" s="113">
        <f>SUM(G31:N31,P31:W31)</f>
        <v>30</v>
      </c>
      <c r="AE31" s="113">
        <f>SUM(O31,X31)</f>
        <v>0</v>
      </c>
    </row>
    <row r="32" spans="1:31" ht="15.75">
      <c r="A32" s="580" t="s">
        <v>9</v>
      </c>
      <c r="B32" s="581"/>
      <c r="C32" s="581"/>
      <c r="D32" s="581"/>
      <c r="E32" s="581"/>
      <c r="F32" s="582"/>
      <c r="G32" s="56">
        <f t="shared" ref="G32:X32" si="10">SUM(G31:G31)</f>
        <v>0</v>
      </c>
      <c r="H32" s="183">
        <f t="shared" si="10"/>
        <v>0</v>
      </c>
      <c r="I32" s="56">
        <f t="shared" si="10"/>
        <v>15</v>
      </c>
      <c r="J32" s="183">
        <f t="shared" si="10"/>
        <v>0</v>
      </c>
      <c r="K32" s="56">
        <f t="shared" si="10"/>
        <v>0</v>
      </c>
      <c r="L32" s="183">
        <f t="shared" si="10"/>
        <v>0</v>
      </c>
      <c r="M32" s="56">
        <f t="shared" si="10"/>
        <v>0</v>
      </c>
      <c r="N32" s="183">
        <f t="shared" si="10"/>
        <v>0</v>
      </c>
      <c r="O32" s="56">
        <f t="shared" si="10"/>
        <v>0</v>
      </c>
      <c r="P32" s="56">
        <f t="shared" si="10"/>
        <v>0</v>
      </c>
      <c r="Q32" s="183">
        <f t="shared" si="10"/>
        <v>0</v>
      </c>
      <c r="R32" s="56">
        <f t="shared" si="10"/>
        <v>15</v>
      </c>
      <c r="S32" s="183">
        <f t="shared" si="10"/>
        <v>0</v>
      </c>
      <c r="T32" s="56">
        <f t="shared" si="10"/>
        <v>0</v>
      </c>
      <c r="U32" s="183">
        <f t="shared" si="10"/>
        <v>0</v>
      </c>
      <c r="V32" s="56">
        <f t="shared" si="10"/>
        <v>0</v>
      </c>
      <c r="W32" s="183">
        <f t="shared" si="10"/>
        <v>0</v>
      </c>
      <c r="X32" s="56">
        <f t="shared" si="10"/>
        <v>0</v>
      </c>
      <c r="Y32" s="56">
        <f t="shared" ref="Y32:AE32" si="11">SUM(Y31:Y31)</f>
        <v>30</v>
      </c>
      <c r="Z32" s="56">
        <f t="shared" si="11"/>
        <v>0</v>
      </c>
      <c r="AA32" s="56">
        <f t="shared" si="11"/>
        <v>30</v>
      </c>
      <c r="AB32" s="56">
        <f t="shared" si="11"/>
        <v>0</v>
      </c>
      <c r="AC32" s="56">
        <f t="shared" si="11"/>
        <v>0</v>
      </c>
      <c r="AD32" s="56">
        <f t="shared" si="11"/>
        <v>30</v>
      </c>
      <c r="AE32" s="56">
        <f t="shared" si="11"/>
        <v>0</v>
      </c>
    </row>
    <row r="33" spans="1:31" ht="21.75" customHeight="1">
      <c r="A33" s="50" t="s">
        <v>117</v>
      </c>
      <c r="B33" s="51"/>
      <c r="C33" s="52"/>
      <c r="D33" s="51"/>
      <c r="E33" s="51"/>
      <c r="F33" s="51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4"/>
    </row>
    <row r="34" spans="1:31" ht="23.25" customHeight="1">
      <c r="A34" s="165" t="s">
        <v>129</v>
      </c>
      <c r="B34" s="637" t="s">
        <v>346</v>
      </c>
      <c r="C34" s="638"/>
      <c r="D34" s="46"/>
      <c r="E34" s="47">
        <v>5</v>
      </c>
      <c r="F34" s="47"/>
      <c r="G34" s="156">
        <v>15</v>
      </c>
      <c r="H34" s="182">
        <v>10</v>
      </c>
      <c r="I34" s="156"/>
      <c r="J34" s="182"/>
      <c r="K34" s="156"/>
      <c r="L34" s="182"/>
      <c r="M34" s="156"/>
      <c r="N34" s="182"/>
      <c r="O34" s="156">
        <v>1</v>
      </c>
      <c r="P34" s="159"/>
      <c r="Q34" s="185"/>
      <c r="R34" s="159"/>
      <c r="S34" s="185"/>
      <c r="T34" s="159"/>
      <c r="U34" s="185"/>
      <c r="V34" s="159"/>
      <c r="W34" s="185"/>
      <c r="X34" s="159"/>
      <c r="Y34" s="48">
        <f>SUM(Z34:AC34)</f>
        <v>15</v>
      </c>
      <c r="Z34" s="48">
        <f>SUM(G34,P34)</f>
        <v>15</v>
      </c>
      <c r="AA34" s="48">
        <f>SUM(I34,R34)</f>
        <v>0</v>
      </c>
      <c r="AB34" s="48">
        <f>SUM(K34,T34)</f>
        <v>0</v>
      </c>
      <c r="AC34" s="48">
        <f>SUM(M34,V34)</f>
        <v>0</v>
      </c>
      <c r="AD34" s="48">
        <f>SUM(G34:N34,P34:W34)</f>
        <v>25</v>
      </c>
      <c r="AE34" s="48">
        <f>SUM(O34,X34)</f>
        <v>1</v>
      </c>
    </row>
    <row r="35" spans="1:31" ht="23.25" customHeight="1">
      <c r="A35" s="165" t="s">
        <v>132</v>
      </c>
      <c r="B35" s="637" t="s">
        <v>346</v>
      </c>
      <c r="C35" s="638"/>
      <c r="D35" s="123"/>
      <c r="E35" s="125">
        <v>5</v>
      </c>
      <c r="F35" s="125"/>
      <c r="G35" s="156">
        <v>15</v>
      </c>
      <c r="H35" s="182">
        <v>10</v>
      </c>
      <c r="I35" s="156"/>
      <c r="J35" s="182"/>
      <c r="K35" s="156"/>
      <c r="L35" s="182"/>
      <c r="M35" s="156"/>
      <c r="N35" s="182"/>
      <c r="O35" s="156">
        <v>1</v>
      </c>
      <c r="P35" s="159"/>
      <c r="Q35" s="185"/>
      <c r="R35" s="159"/>
      <c r="S35" s="185"/>
      <c r="T35" s="159"/>
      <c r="U35" s="185"/>
      <c r="V35" s="159"/>
      <c r="W35" s="185"/>
      <c r="X35" s="159"/>
      <c r="Y35" s="48">
        <f t="shared" ref="Y35:Y38" si="12">SUM(Z35:AC35)</f>
        <v>15</v>
      </c>
      <c r="Z35" s="48">
        <f t="shared" ref="Z35:Z38" si="13">SUM(G35,P35)</f>
        <v>15</v>
      </c>
      <c r="AA35" s="48">
        <f t="shared" ref="AA35:AA38" si="14">SUM(I35,R35)</f>
        <v>0</v>
      </c>
      <c r="AB35" s="48">
        <f t="shared" ref="AB35:AB38" si="15">SUM(K35,T35)</f>
        <v>0</v>
      </c>
      <c r="AC35" s="48">
        <f t="shared" ref="AC35:AC38" si="16">SUM(M35,V35)</f>
        <v>0</v>
      </c>
      <c r="AD35" s="48">
        <f t="shared" ref="AD35:AD38" si="17">SUM(G35:N35,P35:W35)</f>
        <v>25</v>
      </c>
      <c r="AE35" s="48">
        <f t="shared" ref="AE35:AE38" si="18">SUM(O35,X35)</f>
        <v>1</v>
      </c>
    </row>
    <row r="36" spans="1:31" ht="23.25" customHeight="1">
      <c r="A36" s="165" t="s">
        <v>133</v>
      </c>
      <c r="B36" s="637" t="s">
        <v>346</v>
      </c>
      <c r="C36" s="638"/>
      <c r="D36" s="469"/>
      <c r="E36" s="470">
        <v>5</v>
      </c>
      <c r="F36" s="470"/>
      <c r="G36" s="173"/>
      <c r="H36" s="173"/>
      <c r="I36" s="427">
        <v>15</v>
      </c>
      <c r="J36" s="435">
        <v>10</v>
      </c>
      <c r="K36" s="156"/>
      <c r="L36" s="182"/>
      <c r="M36" s="156"/>
      <c r="N36" s="182"/>
      <c r="O36" s="427">
        <v>1</v>
      </c>
      <c r="P36" s="159"/>
      <c r="Q36" s="185"/>
      <c r="R36" s="159"/>
      <c r="S36" s="185"/>
      <c r="T36" s="159"/>
      <c r="U36" s="185"/>
      <c r="V36" s="159"/>
      <c r="W36" s="185"/>
      <c r="X36" s="159"/>
      <c r="Y36" s="48">
        <f t="shared" si="12"/>
        <v>15</v>
      </c>
      <c r="Z36" s="48">
        <f t="shared" si="13"/>
        <v>0</v>
      </c>
      <c r="AA36" s="48">
        <f t="shared" si="14"/>
        <v>15</v>
      </c>
      <c r="AB36" s="48">
        <f t="shared" si="15"/>
        <v>0</v>
      </c>
      <c r="AC36" s="48">
        <f t="shared" si="16"/>
        <v>0</v>
      </c>
      <c r="AD36" s="48">
        <f t="shared" si="17"/>
        <v>25</v>
      </c>
      <c r="AE36" s="48">
        <f t="shared" si="18"/>
        <v>1</v>
      </c>
    </row>
    <row r="37" spans="1:31" ht="23.25" customHeight="1">
      <c r="A37" s="165" t="s">
        <v>134</v>
      </c>
      <c r="B37" s="637" t="s">
        <v>118</v>
      </c>
      <c r="C37" s="638"/>
      <c r="D37" s="46"/>
      <c r="E37" s="47">
        <v>6</v>
      </c>
      <c r="F37" s="47"/>
      <c r="G37" s="156"/>
      <c r="H37" s="182"/>
      <c r="I37" s="156"/>
      <c r="J37" s="182"/>
      <c r="K37" s="156"/>
      <c r="L37" s="182"/>
      <c r="M37" s="156"/>
      <c r="N37" s="182"/>
      <c r="O37" s="156"/>
      <c r="P37" s="159">
        <v>15</v>
      </c>
      <c r="Q37" s="185">
        <v>10</v>
      </c>
      <c r="R37" s="159"/>
      <c r="S37" s="185"/>
      <c r="T37" s="159"/>
      <c r="U37" s="185"/>
      <c r="V37" s="159"/>
      <c r="W37" s="185"/>
      <c r="X37" s="159">
        <v>1</v>
      </c>
      <c r="Y37" s="48">
        <f t="shared" si="12"/>
        <v>15</v>
      </c>
      <c r="Z37" s="48">
        <f t="shared" si="13"/>
        <v>15</v>
      </c>
      <c r="AA37" s="48">
        <f t="shared" si="14"/>
        <v>0</v>
      </c>
      <c r="AB37" s="48">
        <f t="shared" si="15"/>
        <v>0</v>
      </c>
      <c r="AC37" s="48">
        <f t="shared" si="16"/>
        <v>0</v>
      </c>
      <c r="AD37" s="48">
        <f t="shared" si="17"/>
        <v>25</v>
      </c>
      <c r="AE37" s="48">
        <f t="shared" si="18"/>
        <v>1</v>
      </c>
    </row>
    <row r="38" spans="1:31" ht="23.25" customHeight="1">
      <c r="A38" s="165" t="s">
        <v>135</v>
      </c>
      <c r="B38" s="637" t="s">
        <v>118</v>
      </c>
      <c r="C38" s="638"/>
      <c r="D38" s="46"/>
      <c r="E38" s="47">
        <v>6</v>
      </c>
      <c r="F38" s="47"/>
      <c r="G38" s="156"/>
      <c r="H38" s="182"/>
      <c r="I38" s="156"/>
      <c r="J38" s="182"/>
      <c r="K38" s="156"/>
      <c r="L38" s="182"/>
      <c r="M38" s="156"/>
      <c r="N38" s="182"/>
      <c r="O38" s="156"/>
      <c r="P38" s="159">
        <v>15</v>
      </c>
      <c r="Q38" s="185">
        <v>10</v>
      </c>
      <c r="R38" s="159"/>
      <c r="S38" s="185"/>
      <c r="T38" s="159"/>
      <c r="U38" s="185"/>
      <c r="V38" s="159"/>
      <c r="W38" s="185"/>
      <c r="X38" s="159">
        <v>1</v>
      </c>
      <c r="Y38" s="48">
        <f t="shared" si="12"/>
        <v>15</v>
      </c>
      <c r="Z38" s="48">
        <f t="shared" si="13"/>
        <v>15</v>
      </c>
      <c r="AA38" s="48">
        <f t="shared" si="14"/>
        <v>0</v>
      </c>
      <c r="AB38" s="48">
        <f t="shared" si="15"/>
        <v>0</v>
      </c>
      <c r="AC38" s="48">
        <f t="shared" si="16"/>
        <v>0</v>
      </c>
      <c r="AD38" s="48">
        <f t="shared" si="17"/>
        <v>25</v>
      </c>
      <c r="AE38" s="48">
        <f t="shared" si="18"/>
        <v>1</v>
      </c>
    </row>
    <row r="39" spans="1:31" ht="19.5" customHeight="1" thickBot="1">
      <c r="A39" s="634" t="s">
        <v>9</v>
      </c>
      <c r="B39" s="635"/>
      <c r="C39" s="635"/>
      <c r="D39" s="635"/>
      <c r="E39" s="635"/>
      <c r="F39" s="636"/>
      <c r="G39" s="56">
        <f t="shared" ref="G39:AE39" si="19">SUM(G34:G38)</f>
        <v>30</v>
      </c>
      <c r="H39" s="183">
        <f t="shared" si="19"/>
        <v>20</v>
      </c>
      <c r="I39" s="56">
        <f t="shared" si="19"/>
        <v>15</v>
      </c>
      <c r="J39" s="183">
        <f t="shared" si="19"/>
        <v>10</v>
      </c>
      <c r="K39" s="56">
        <f t="shared" si="19"/>
        <v>0</v>
      </c>
      <c r="L39" s="183">
        <f t="shared" si="19"/>
        <v>0</v>
      </c>
      <c r="M39" s="56">
        <f t="shared" si="19"/>
        <v>0</v>
      </c>
      <c r="N39" s="183">
        <f t="shared" si="19"/>
        <v>0</v>
      </c>
      <c r="O39" s="56">
        <f t="shared" si="19"/>
        <v>3</v>
      </c>
      <c r="P39" s="56">
        <f t="shared" si="19"/>
        <v>30</v>
      </c>
      <c r="Q39" s="183">
        <f t="shared" si="19"/>
        <v>20</v>
      </c>
      <c r="R39" s="56">
        <f t="shared" si="19"/>
        <v>0</v>
      </c>
      <c r="S39" s="183">
        <f t="shared" si="19"/>
        <v>0</v>
      </c>
      <c r="T39" s="56">
        <f t="shared" si="19"/>
        <v>0</v>
      </c>
      <c r="U39" s="183">
        <f t="shared" si="19"/>
        <v>0</v>
      </c>
      <c r="V39" s="56">
        <f t="shared" si="19"/>
        <v>0</v>
      </c>
      <c r="W39" s="183">
        <f t="shared" si="19"/>
        <v>0</v>
      </c>
      <c r="X39" s="56">
        <f t="shared" si="19"/>
        <v>2</v>
      </c>
      <c r="Y39" s="56">
        <f t="shared" si="19"/>
        <v>75</v>
      </c>
      <c r="Z39" s="56">
        <f t="shared" si="19"/>
        <v>60</v>
      </c>
      <c r="AA39" s="56">
        <f t="shared" si="19"/>
        <v>15</v>
      </c>
      <c r="AB39" s="56">
        <f t="shared" si="19"/>
        <v>0</v>
      </c>
      <c r="AC39" s="56">
        <f t="shared" si="19"/>
        <v>0</v>
      </c>
      <c r="AD39" s="56">
        <f t="shared" si="19"/>
        <v>125</v>
      </c>
      <c r="AE39" s="56">
        <f t="shared" si="19"/>
        <v>5</v>
      </c>
    </row>
    <row r="40" spans="1:31" ht="25.5" customHeight="1" thickBot="1">
      <c r="A40" s="631" t="s">
        <v>21</v>
      </c>
      <c r="B40" s="632"/>
      <c r="C40" s="632"/>
      <c r="D40" s="632"/>
      <c r="E40" s="632"/>
      <c r="F40" s="633"/>
      <c r="G40" s="64">
        <f t="shared" ref="G40:N40" si="20">SUM(G12,G16,G23,G26,G32,G29,G39)</f>
        <v>155</v>
      </c>
      <c r="H40" s="188">
        <f t="shared" si="20"/>
        <v>160</v>
      </c>
      <c r="I40" s="64">
        <f t="shared" si="20"/>
        <v>235</v>
      </c>
      <c r="J40" s="188">
        <f t="shared" si="20"/>
        <v>190</v>
      </c>
      <c r="K40" s="64">
        <f t="shared" si="20"/>
        <v>50</v>
      </c>
      <c r="L40" s="188">
        <f t="shared" si="20"/>
        <v>0</v>
      </c>
      <c r="M40" s="64">
        <f t="shared" si="20"/>
        <v>0</v>
      </c>
      <c r="N40" s="188">
        <f t="shared" si="20"/>
        <v>0</v>
      </c>
      <c r="O40" s="64">
        <f>SUM(O39,O29,O32,O26,O23,O16,O12)</f>
        <v>31</v>
      </c>
      <c r="P40" s="64">
        <f t="shared" ref="P40:W40" si="21">SUM(P12,P16,P23,P26,P32,P29,P39)</f>
        <v>150</v>
      </c>
      <c r="Q40" s="188">
        <f t="shared" si="21"/>
        <v>160</v>
      </c>
      <c r="R40" s="64">
        <f t="shared" si="21"/>
        <v>295</v>
      </c>
      <c r="S40" s="188">
        <f t="shared" si="21"/>
        <v>115</v>
      </c>
      <c r="T40" s="64">
        <f t="shared" si="21"/>
        <v>40</v>
      </c>
      <c r="U40" s="188">
        <f t="shared" si="21"/>
        <v>0</v>
      </c>
      <c r="V40" s="64">
        <f t="shared" si="21"/>
        <v>0</v>
      </c>
      <c r="W40" s="188">
        <f t="shared" si="21"/>
        <v>0</v>
      </c>
      <c r="X40" s="64">
        <f>SUM(X39,X32,X29,X26,X23,X16,X12)</f>
        <v>29</v>
      </c>
      <c r="Y40" s="64">
        <f t="shared" ref="Y40:AD40" si="22">SUM(Y12,Y16,Y23,Y26,Y32,Y29,Y39)</f>
        <v>925</v>
      </c>
      <c r="Z40" s="64">
        <f t="shared" si="22"/>
        <v>305</v>
      </c>
      <c r="AA40" s="64">
        <f t="shared" si="22"/>
        <v>530</v>
      </c>
      <c r="AB40" s="64">
        <f t="shared" si="22"/>
        <v>90</v>
      </c>
      <c r="AC40" s="64">
        <f t="shared" si="22"/>
        <v>0</v>
      </c>
      <c r="AD40" s="64">
        <f t="shared" si="22"/>
        <v>1550</v>
      </c>
      <c r="AE40" s="64">
        <f>SUM(AE39,AE29,AE32,AE26,AE23,AE16,AE12)</f>
        <v>60</v>
      </c>
    </row>
    <row r="41" spans="1:31">
      <c r="A41" s="7"/>
      <c r="B41" s="19" t="s">
        <v>347</v>
      </c>
      <c r="C41" s="3"/>
    </row>
    <row r="42" spans="1:31" ht="18">
      <c r="A42" s="630" t="s">
        <v>355</v>
      </c>
      <c r="B42" s="630"/>
      <c r="C42" s="630"/>
      <c r="D42" s="630"/>
      <c r="E42" s="630"/>
      <c r="F42" s="630"/>
      <c r="G42" s="630"/>
      <c r="H42" s="630"/>
      <c r="I42" s="630"/>
      <c r="J42" s="630"/>
      <c r="K42" s="630"/>
      <c r="L42" s="630"/>
      <c r="M42" s="630"/>
      <c r="N42" s="630"/>
      <c r="O42" s="630"/>
      <c r="P42" s="630"/>
      <c r="Q42" s="630"/>
      <c r="R42" s="630"/>
      <c r="S42" s="630"/>
      <c r="T42" s="630"/>
      <c r="U42" s="630"/>
      <c r="V42" s="630"/>
      <c r="W42" s="630"/>
      <c r="X42" s="630"/>
      <c r="Y42" s="630"/>
      <c r="Z42" s="630"/>
      <c r="AA42" s="630"/>
      <c r="AB42" s="630"/>
      <c r="AC42" s="630"/>
      <c r="AD42" s="630"/>
      <c r="AE42" s="630"/>
    </row>
    <row r="43" spans="1:31" ht="21">
      <c r="A43" s="9"/>
      <c r="B43" s="10"/>
      <c r="C43" s="16"/>
      <c r="D43" s="12"/>
      <c r="E43" s="12"/>
      <c r="F43" s="12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29"/>
      <c r="S43" s="29"/>
      <c r="T43" s="29"/>
      <c r="U43" s="29"/>
      <c r="V43" s="29"/>
      <c r="W43" s="29"/>
      <c r="X43" s="29"/>
      <c r="Y43" s="15"/>
      <c r="Z43" s="15"/>
      <c r="AA43" s="15"/>
      <c r="AB43" s="15"/>
      <c r="AC43" s="15"/>
      <c r="AD43" s="15"/>
      <c r="AE43" s="15"/>
    </row>
    <row r="44" spans="1:31" ht="30" customHeight="1">
      <c r="A44" s="165" t="s">
        <v>141</v>
      </c>
      <c r="B44" s="62" t="s">
        <v>183</v>
      </c>
      <c r="C44" s="45" t="str">
        <f>"0912-7LEK-F-"&amp;A44&amp;"-"&amp;UPPER(LEFT(B44,1))&amp;"N"</f>
        <v>0912-7LEK-F-16-PN</v>
      </c>
      <c r="D44" s="123"/>
      <c r="E44" s="125">
        <v>5</v>
      </c>
      <c r="F44" s="125"/>
      <c r="G44" s="156">
        <v>15</v>
      </c>
      <c r="H44" s="182">
        <v>10</v>
      </c>
      <c r="I44" s="156"/>
      <c r="J44" s="182"/>
      <c r="K44" s="156"/>
      <c r="L44" s="156"/>
      <c r="M44" s="156"/>
      <c r="N44" s="156"/>
      <c r="O44" s="156">
        <v>1</v>
      </c>
      <c r="P44" s="159"/>
      <c r="Q44" s="185"/>
      <c r="R44" s="159"/>
      <c r="S44" s="185"/>
      <c r="T44" s="159"/>
      <c r="U44" s="159"/>
      <c r="V44" s="159"/>
      <c r="W44" s="159"/>
      <c r="X44" s="159"/>
      <c r="Y44" s="48">
        <f>SUM(G44,I44,K44,M44,P44,R44,T44,V44)</f>
        <v>15</v>
      </c>
      <c r="Z44" s="48">
        <f>SUM(G44,P44)</f>
        <v>15</v>
      </c>
      <c r="AA44" s="48">
        <f>SUM(I44,R44)</f>
        <v>0</v>
      </c>
      <c r="AB44" s="48">
        <f>SUM(K44,T44)</f>
        <v>0</v>
      </c>
      <c r="AC44" s="48">
        <f>SUM(M44,V44)</f>
        <v>0</v>
      </c>
      <c r="AD44" s="48">
        <f>SUM(G44:N44,P44:W44)</f>
        <v>25</v>
      </c>
      <c r="AE44" s="48">
        <f>SUM(O44,X44)</f>
        <v>1</v>
      </c>
    </row>
    <row r="45" spans="1:31" ht="35.25" customHeight="1">
      <c r="A45" s="165" t="s">
        <v>142</v>
      </c>
      <c r="B45" s="62" t="s">
        <v>191</v>
      </c>
      <c r="C45" s="45" t="str">
        <f>"0912-7LEK-F-"&amp;A45&amp;"-"&amp;UPPER(LEFT(B45,1))&amp;"T"</f>
        <v>0912-7LEK-F-17-PT</v>
      </c>
      <c r="D45" s="123"/>
      <c r="E45" s="125">
        <v>5</v>
      </c>
      <c r="F45" s="125"/>
      <c r="G45" s="156">
        <v>15</v>
      </c>
      <c r="H45" s="182">
        <v>10</v>
      </c>
      <c r="I45" s="156"/>
      <c r="J45" s="182"/>
      <c r="K45" s="156"/>
      <c r="L45" s="156"/>
      <c r="M45" s="156"/>
      <c r="N45" s="156"/>
      <c r="O45" s="156">
        <v>1</v>
      </c>
      <c r="P45" s="159"/>
      <c r="Q45" s="185"/>
      <c r="R45" s="159"/>
      <c r="S45" s="185"/>
      <c r="T45" s="159"/>
      <c r="U45" s="159"/>
      <c r="V45" s="159"/>
      <c r="W45" s="159"/>
      <c r="X45" s="159"/>
      <c r="Y45" s="48">
        <f t="shared" ref="Y45:Y51" si="23">SUM(G45,I45,K45,M45,P45,R45,T45,V45)</f>
        <v>15</v>
      </c>
      <c r="Z45" s="48">
        <f t="shared" ref="Z45:Z51" si="24">SUM(G45,P45)</f>
        <v>15</v>
      </c>
      <c r="AA45" s="48">
        <f t="shared" ref="AA45:AA51" si="25">SUM(I45,R45)</f>
        <v>0</v>
      </c>
      <c r="AB45" s="48">
        <f t="shared" ref="AB45:AB51" si="26">SUM(K45,T45)</f>
        <v>0</v>
      </c>
      <c r="AC45" s="48">
        <f t="shared" ref="AC45:AC51" si="27">SUM(M45,V45)</f>
        <v>0</v>
      </c>
      <c r="AD45" s="48">
        <f t="shared" ref="AD45:AD51" si="28">SUM(G45:N45,P45:W45)</f>
        <v>25</v>
      </c>
      <c r="AE45" s="48">
        <f t="shared" ref="AE45:AE51" si="29">SUM(O45,X45)</f>
        <v>1</v>
      </c>
    </row>
    <row r="46" spans="1:31" ht="35.25" customHeight="1">
      <c r="A46" s="165"/>
      <c r="B46" s="62" t="s">
        <v>201</v>
      </c>
      <c r="C46" s="45" t="s">
        <v>351</v>
      </c>
      <c r="D46" s="467"/>
      <c r="E46" s="468">
        <v>5</v>
      </c>
      <c r="F46" s="468"/>
      <c r="G46" s="156">
        <v>15</v>
      </c>
      <c r="H46" s="182">
        <v>10</v>
      </c>
      <c r="I46" s="156"/>
      <c r="J46" s="182"/>
      <c r="K46" s="156"/>
      <c r="L46" s="156"/>
      <c r="M46" s="156"/>
      <c r="N46" s="156"/>
      <c r="O46" s="156">
        <v>1</v>
      </c>
      <c r="P46" s="159"/>
      <c r="Q46" s="185"/>
      <c r="R46" s="159"/>
      <c r="S46" s="185"/>
      <c r="T46" s="159"/>
      <c r="U46" s="159"/>
      <c r="V46" s="159"/>
      <c r="W46" s="159"/>
      <c r="X46" s="159"/>
      <c r="Y46" s="48">
        <v>15</v>
      </c>
      <c r="Z46" s="48">
        <v>15</v>
      </c>
      <c r="AA46" s="48">
        <v>0</v>
      </c>
      <c r="AB46" s="48">
        <v>0</v>
      </c>
      <c r="AC46" s="48">
        <v>0</v>
      </c>
      <c r="AD46" s="48">
        <v>25</v>
      </c>
      <c r="AE46" s="48">
        <v>1</v>
      </c>
    </row>
    <row r="47" spans="1:31" ht="48.75" customHeight="1">
      <c r="A47" s="165" t="s">
        <v>150</v>
      </c>
      <c r="B47" s="62" t="s">
        <v>202</v>
      </c>
      <c r="C47" s="45" t="str">
        <f>"0912-7LEK-F-"&amp;A47&amp;"-"&amp;UPPER(LEFT(B47,1))&amp;"K"</f>
        <v>0912-7LEK-F-18-IK</v>
      </c>
      <c r="D47" s="123"/>
      <c r="E47" s="125">
        <v>5</v>
      </c>
      <c r="F47" s="125"/>
      <c r="G47" s="156"/>
      <c r="H47" s="182"/>
      <c r="I47" s="156">
        <v>15</v>
      </c>
      <c r="J47" s="182">
        <v>10</v>
      </c>
      <c r="K47" s="156"/>
      <c r="L47" s="156"/>
      <c r="M47" s="156"/>
      <c r="N47" s="156"/>
      <c r="O47" s="156">
        <v>1</v>
      </c>
      <c r="P47" s="159"/>
      <c r="Q47" s="185"/>
      <c r="R47" s="159"/>
      <c r="S47" s="185"/>
      <c r="T47" s="159"/>
      <c r="U47" s="159"/>
      <c r="V47" s="159"/>
      <c r="W47" s="159"/>
      <c r="X47" s="159"/>
      <c r="Y47" s="48">
        <f>SUM(G47,I47,K47,M47,P47,R47,T47,V47)</f>
        <v>15</v>
      </c>
      <c r="Z47" s="48">
        <f t="shared" si="24"/>
        <v>0</v>
      </c>
      <c r="AA47" s="48">
        <f t="shared" si="25"/>
        <v>15</v>
      </c>
      <c r="AB47" s="48">
        <f>SUM(K47,T47)</f>
        <v>0</v>
      </c>
      <c r="AC47" s="48">
        <f t="shared" si="27"/>
        <v>0</v>
      </c>
      <c r="AD47" s="48">
        <f t="shared" si="28"/>
        <v>25</v>
      </c>
      <c r="AE47" s="48">
        <f t="shared" si="29"/>
        <v>1</v>
      </c>
    </row>
    <row r="48" spans="1:31" ht="46.5">
      <c r="A48" s="165" t="s">
        <v>151</v>
      </c>
      <c r="B48" s="62" t="s">
        <v>203</v>
      </c>
      <c r="C48" s="45" t="str">
        <f>"0912-7LEK-F-"&amp;A48&amp;"-"&amp;UPPER(LEFT(B48,1))&amp;"M"</f>
        <v>0912-7LEK-F-19-JM</v>
      </c>
      <c r="D48" s="123"/>
      <c r="E48" s="125">
        <v>5</v>
      </c>
      <c r="F48" s="125"/>
      <c r="G48" s="156"/>
      <c r="H48" s="182"/>
      <c r="I48" s="156">
        <v>15</v>
      </c>
      <c r="J48" s="182">
        <v>10</v>
      </c>
      <c r="K48" s="156"/>
      <c r="L48" s="156"/>
      <c r="M48" s="156"/>
      <c r="N48" s="156"/>
      <c r="O48" s="156">
        <v>1</v>
      </c>
      <c r="P48" s="159"/>
      <c r="Q48" s="185"/>
      <c r="R48" s="159"/>
      <c r="S48" s="185"/>
      <c r="T48" s="159"/>
      <c r="U48" s="159"/>
      <c r="V48" s="159"/>
      <c r="W48" s="159"/>
      <c r="X48" s="159"/>
      <c r="Y48" s="48">
        <f t="shared" si="23"/>
        <v>15</v>
      </c>
      <c r="Z48" s="48">
        <f t="shared" si="24"/>
        <v>0</v>
      </c>
      <c r="AA48" s="48">
        <f t="shared" si="25"/>
        <v>15</v>
      </c>
      <c r="AB48" s="48">
        <f t="shared" si="26"/>
        <v>0</v>
      </c>
      <c r="AC48" s="48">
        <f t="shared" si="27"/>
        <v>0</v>
      </c>
      <c r="AD48" s="48">
        <f t="shared" si="28"/>
        <v>25</v>
      </c>
      <c r="AE48" s="48">
        <f t="shared" si="29"/>
        <v>1</v>
      </c>
    </row>
    <row r="49" spans="1:31" ht="45.75" customHeight="1">
      <c r="A49" s="165" t="s">
        <v>152</v>
      </c>
      <c r="B49" s="62" t="s">
        <v>204</v>
      </c>
      <c r="C49" s="45" t="str">
        <f>"0912-7LEK-F-"&amp;A49&amp;"-"&amp;UPPER(LEFT(B49,1))&amp;"Z"</f>
        <v>0912-7LEK-F-20-PZ</v>
      </c>
      <c r="D49" s="123"/>
      <c r="E49" s="125">
        <v>6</v>
      </c>
      <c r="F49" s="125"/>
      <c r="G49" s="156"/>
      <c r="H49" s="182"/>
      <c r="I49" s="156"/>
      <c r="J49" s="182"/>
      <c r="K49" s="156"/>
      <c r="L49" s="156"/>
      <c r="M49" s="156"/>
      <c r="N49" s="156"/>
      <c r="O49" s="156"/>
      <c r="P49" s="159">
        <v>15</v>
      </c>
      <c r="Q49" s="185">
        <v>10</v>
      </c>
      <c r="R49" s="159"/>
      <c r="S49" s="185"/>
      <c r="T49" s="159"/>
      <c r="U49" s="159"/>
      <c r="V49" s="159"/>
      <c r="W49" s="159"/>
      <c r="X49" s="159">
        <v>1</v>
      </c>
      <c r="Y49" s="48">
        <f t="shared" si="23"/>
        <v>15</v>
      </c>
      <c r="Z49" s="48">
        <f t="shared" si="24"/>
        <v>15</v>
      </c>
      <c r="AA49" s="48">
        <f t="shared" si="25"/>
        <v>0</v>
      </c>
      <c r="AB49" s="48">
        <f t="shared" si="26"/>
        <v>0</v>
      </c>
      <c r="AC49" s="48">
        <f t="shared" si="27"/>
        <v>0</v>
      </c>
      <c r="AD49" s="48">
        <f t="shared" si="28"/>
        <v>25</v>
      </c>
      <c r="AE49" s="48">
        <f t="shared" si="29"/>
        <v>1</v>
      </c>
    </row>
    <row r="50" spans="1:31" ht="37.5" customHeight="1">
      <c r="A50" s="165" t="s">
        <v>153</v>
      </c>
      <c r="B50" s="62" t="s">
        <v>200</v>
      </c>
      <c r="C50" s="45" t="str">
        <f>"0912-7LEK-F-"&amp;A50&amp;"-"&amp;UPPER(LEFT(B50,1))&amp;""</f>
        <v>0912-7LEK-F-21-S</v>
      </c>
      <c r="D50" s="123"/>
      <c r="E50" s="125">
        <v>6</v>
      </c>
      <c r="F50" s="125"/>
      <c r="G50" s="156"/>
      <c r="H50" s="182"/>
      <c r="I50" s="156"/>
      <c r="J50" s="182"/>
      <c r="K50" s="156"/>
      <c r="L50" s="156"/>
      <c r="M50" s="156"/>
      <c r="N50" s="156"/>
      <c r="O50" s="156"/>
      <c r="P50" s="159">
        <v>15</v>
      </c>
      <c r="Q50" s="185">
        <v>10</v>
      </c>
      <c r="R50" s="159"/>
      <c r="S50" s="185"/>
      <c r="T50" s="159"/>
      <c r="U50" s="159"/>
      <c r="V50" s="159"/>
      <c r="W50" s="159"/>
      <c r="X50" s="159">
        <v>1</v>
      </c>
      <c r="Y50" s="48">
        <f t="shared" si="23"/>
        <v>15</v>
      </c>
      <c r="Z50" s="48">
        <f t="shared" si="24"/>
        <v>15</v>
      </c>
      <c r="AA50" s="48">
        <f t="shared" si="25"/>
        <v>0</v>
      </c>
      <c r="AB50" s="48">
        <f t="shared" si="26"/>
        <v>0</v>
      </c>
      <c r="AC50" s="48">
        <f t="shared" si="27"/>
        <v>0</v>
      </c>
      <c r="AD50" s="48">
        <f t="shared" si="28"/>
        <v>25</v>
      </c>
      <c r="AE50" s="48">
        <f t="shared" si="29"/>
        <v>1</v>
      </c>
    </row>
    <row r="51" spans="1:31" ht="30.75" customHeight="1">
      <c r="A51" s="165" t="s">
        <v>192</v>
      </c>
      <c r="B51" s="62" t="s">
        <v>184</v>
      </c>
      <c r="C51" s="45" t="str">
        <f>"0912-7LEK-F-"&amp;A51&amp;"-"&amp;UPPER(LEFT(B51,1))&amp;"UE"</f>
        <v>0912-7LEK-F-22-PUE</v>
      </c>
      <c r="D51" s="123"/>
      <c r="E51" s="125">
        <v>6</v>
      </c>
      <c r="F51" s="125"/>
      <c r="G51" s="156"/>
      <c r="H51" s="182"/>
      <c r="I51" s="156"/>
      <c r="J51" s="182"/>
      <c r="K51" s="156"/>
      <c r="L51" s="156"/>
      <c r="M51" s="156"/>
      <c r="N51" s="156"/>
      <c r="O51" s="156"/>
      <c r="P51" s="159">
        <v>15</v>
      </c>
      <c r="Q51" s="185">
        <v>10</v>
      </c>
      <c r="R51" s="159"/>
      <c r="S51" s="185"/>
      <c r="T51" s="159"/>
      <c r="U51" s="159"/>
      <c r="V51" s="159"/>
      <c r="W51" s="159"/>
      <c r="X51" s="159">
        <v>1</v>
      </c>
      <c r="Y51" s="48">
        <f t="shared" si="23"/>
        <v>15</v>
      </c>
      <c r="Z51" s="48">
        <f t="shared" si="24"/>
        <v>15</v>
      </c>
      <c r="AA51" s="48">
        <f t="shared" si="25"/>
        <v>0</v>
      </c>
      <c r="AB51" s="48">
        <f t="shared" si="26"/>
        <v>0</v>
      </c>
      <c r="AC51" s="48">
        <f t="shared" si="27"/>
        <v>0</v>
      </c>
      <c r="AD51" s="48">
        <f t="shared" si="28"/>
        <v>25</v>
      </c>
      <c r="AE51" s="48">
        <f t="shared" si="29"/>
        <v>1</v>
      </c>
    </row>
    <row r="52" spans="1:31" ht="21">
      <c r="A52" s="10"/>
      <c r="B52" s="10"/>
      <c r="C52" s="16"/>
      <c r="D52" s="12"/>
      <c r="E52" s="12"/>
      <c r="F52" s="12"/>
      <c r="G52" s="627"/>
      <c r="H52" s="627"/>
      <c r="I52" s="627"/>
      <c r="J52" s="627"/>
      <c r="K52" s="627"/>
      <c r="L52" s="627"/>
      <c r="M52" s="627"/>
      <c r="N52" s="627"/>
      <c r="O52" s="627"/>
      <c r="P52" s="627"/>
      <c r="Q52" s="627"/>
      <c r="R52" s="627"/>
    </row>
    <row r="53" spans="1:31" ht="21">
      <c r="A53" s="10"/>
      <c r="B53" s="10"/>
      <c r="C53" s="16"/>
      <c r="D53" s="12"/>
      <c r="E53" s="12"/>
      <c r="F53" s="12"/>
      <c r="G53" s="627"/>
      <c r="H53" s="627"/>
      <c r="I53" s="627"/>
      <c r="J53" s="627"/>
      <c r="K53" s="627"/>
      <c r="L53" s="627"/>
      <c r="M53" s="627"/>
      <c r="N53" s="627"/>
      <c r="O53" s="627"/>
      <c r="P53" s="627"/>
      <c r="Q53" s="627"/>
      <c r="R53" s="627"/>
    </row>
    <row r="54" spans="1:31" ht="21">
      <c r="A54" s="10"/>
      <c r="B54" s="10"/>
      <c r="C54" s="16"/>
      <c r="D54" s="12"/>
      <c r="E54" s="12"/>
      <c r="F54" s="12"/>
      <c r="G54" s="32"/>
      <c r="H54" s="32"/>
      <c r="I54" s="32"/>
      <c r="J54" s="32"/>
      <c r="K54" s="20" t="s">
        <v>126</v>
      </c>
      <c r="L54" s="32"/>
      <c r="M54" s="32"/>
      <c r="N54" s="32"/>
      <c r="O54" s="33"/>
      <c r="P54" s="33"/>
      <c r="Q54" s="33"/>
      <c r="R54" s="33"/>
    </row>
    <row r="55" spans="1:31" ht="21">
      <c r="A55" s="10"/>
      <c r="B55" s="10"/>
      <c r="C55" s="16"/>
      <c r="D55" s="12"/>
      <c r="E55" s="12"/>
      <c r="F55" s="12"/>
      <c r="G55" s="32"/>
      <c r="H55" s="32"/>
      <c r="I55" s="32"/>
      <c r="J55" s="32"/>
      <c r="K55" s="32"/>
      <c r="L55" s="32"/>
      <c r="M55" s="32"/>
      <c r="N55" s="32"/>
      <c r="O55" s="33"/>
      <c r="P55" s="33"/>
      <c r="Q55" s="33"/>
      <c r="R55" s="33"/>
    </row>
    <row r="56" spans="1:31" ht="21">
      <c r="A56" s="10"/>
      <c r="B56" s="10"/>
      <c r="C56" s="16"/>
      <c r="D56" s="12"/>
      <c r="E56" s="12"/>
      <c r="F56" s="12"/>
      <c r="G56" s="32"/>
      <c r="H56" s="32"/>
      <c r="I56" s="32"/>
      <c r="J56" s="32"/>
      <c r="K56" s="32"/>
      <c r="L56" s="32"/>
      <c r="M56" s="32"/>
      <c r="N56" s="32"/>
      <c r="O56" s="33"/>
      <c r="P56" s="33"/>
      <c r="Q56" s="33"/>
      <c r="R56" s="33"/>
    </row>
    <row r="57" spans="1:31" ht="21">
      <c r="A57" s="10"/>
      <c r="B57" s="10"/>
      <c r="C57" s="16"/>
      <c r="D57" s="12"/>
      <c r="E57" s="12"/>
      <c r="F57" s="12"/>
      <c r="G57" s="32"/>
      <c r="H57" s="32"/>
      <c r="I57" s="32"/>
      <c r="J57" s="32"/>
      <c r="K57" s="32"/>
      <c r="L57" s="32"/>
      <c r="M57" s="32"/>
      <c r="N57" s="32"/>
      <c r="O57" s="33"/>
      <c r="P57" s="33"/>
      <c r="Q57" s="33"/>
      <c r="R57" s="33"/>
    </row>
    <row r="58" spans="1:31" ht="21">
      <c r="A58" s="7"/>
      <c r="B58" s="18"/>
      <c r="C58" s="11"/>
      <c r="D58" s="12"/>
      <c r="E58" s="12"/>
      <c r="F58" s="12"/>
      <c r="G58" s="32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X58" s="35"/>
    </row>
    <row r="59" spans="1:31" ht="21">
      <c r="A59" s="5"/>
      <c r="B59" s="23"/>
      <c r="C59" s="24"/>
      <c r="D59" s="25"/>
      <c r="E59" s="25"/>
      <c r="F59" s="25"/>
      <c r="G59" s="32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X59" s="35"/>
    </row>
    <row r="60" spans="1:31" ht="21">
      <c r="A60" s="4"/>
      <c r="B60" s="26"/>
      <c r="C60" s="27"/>
      <c r="D60" s="25"/>
      <c r="E60" s="25"/>
      <c r="F60" s="25"/>
      <c r="G60" s="627"/>
      <c r="H60" s="627"/>
      <c r="I60" s="627"/>
      <c r="J60" s="627"/>
      <c r="K60" s="627"/>
      <c r="L60" s="627"/>
      <c r="M60" s="627"/>
      <c r="N60" s="627"/>
      <c r="O60" s="627"/>
      <c r="P60" s="627"/>
      <c r="Q60" s="627"/>
      <c r="R60" s="627"/>
      <c r="X60" s="36"/>
      <c r="Y60" s="1"/>
      <c r="Z60" s="1"/>
      <c r="AA60" s="1"/>
      <c r="AB60" s="1"/>
      <c r="AC60" s="1"/>
      <c r="AD60" s="1"/>
      <c r="AE60" s="1"/>
    </row>
    <row r="61" spans="1:31" ht="21">
      <c r="A61" s="2"/>
      <c r="B61" s="23"/>
      <c r="C61" s="24"/>
      <c r="D61" s="25"/>
      <c r="E61" s="25"/>
      <c r="F61" s="28"/>
      <c r="G61" s="627"/>
      <c r="H61" s="627"/>
      <c r="I61" s="627"/>
      <c r="J61" s="627"/>
      <c r="K61" s="627"/>
      <c r="L61" s="627"/>
      <c r="M61" s="627"/>
      <c r="N61" s="627"/>
      <c r="O61" s="627"/>
      <c r="P61" s="627"/>
      <c r="Q61" s="627"/>
      <c r="R61" s="627"/>
      <c r="X61" s="36"/>
    </row>
    <row r="62" spans="1:31" ht="21">
      <c r="A62" s="3"/>
      <c r="B62" s="23"/>
      <c r="C62" s="24"/>
      <c r="D62" s="25"/>
      <c r="E62" s="25"/>
      <c r="F62" s="25"/>
      <c r="G62" s="37"/>
      <c r="H62" s="31"/>
      <c r="I62" s="31"/>
      <c r="J62" s="31"/>
      <c r="K62" s="31"/>
      <c r="L62" s="31"/>
      <c r="M62" s="31"/>
      <c r="N62" s="31"/>
      <c r="O62" s="33"/>
      <c r="P62" s="33"/>
      <c r="Q62" s="33"/>
      <c r="R62" s="33"/>
    </row>
    <row r="63" spans="1:31" ht="21">
      <c r="A63" s="3"/>
      <c r="B63" s="23"/>
      <c r="C63" s="24"/>
      <c r="D63" s="25"/>
      <c r="E63" s="25"/>
      <c r="F63" s="25"/>
      <c r="G63" s="37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X63" s="14"/>
    </row>
    <row r="64" spans="1:31" ht="21">
      <c r="A64" s="3"/>
      <c r="B64" s="23"/>
      <c r="C64" s="24"/>
      <c r="D64" s="28"/>
      <c r="E64" s="28"/>
      <c r="F64" s="25"/>
      <c r="G64" s="37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X64" s="13"/>
    </row>
    <row r="65" spans="1:24" ht="21">
      <c r="A65" s="3"/>
      <c r="B65" s="23"/>
      <c r="C65" s="24"/>
      <c r="D65" s="25"/>
      <c r="E65" s="25"/>
      <c r="F65" s="25"/>
      <c r="G65" s="38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X65" s="13"/>
    </row>
    <row r="66" spans="1:24" ht="21">
      <c r="A66" s="7"/>
      <c r="B66" s="20"/>
      <c r="C66" s="21"/>
      <c r="D66" s="22"/>
      <c r="E66" s="22"/>
      <c r="F66" s="22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</row>
    <row r="67" spans="1:24" ht="21">
      <c r="A67" s="8"/>
      <c r="B67" s="18"/>
      <c r="C67" s="11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</row>
  </sheetData>
  <mergeCells count="49">
    <mergeCell ref="A40:F40"/>
    <mergeCell ref="A39:F39"/>
    <mergeCell ref="A29:F29"/>
    <mergeCell ref="B34:C34"/>
    <mergeCell ref="B37:C37"/>
    <mergeCell ref="B38:C38"/>
    <mergeCell ref="B35:C35"/>
    <mergeCell ref="A32:F32"/>
    <mergeCell ref="B36:C36"/>
    <mergeCell ref="A26:F26"/>
    <mergeCell ref="A23:F23"/>
    <mergeCell ref="A1:AD1"/>
    <mergeCell ref="A2:B2"/>
    <mergeCell ref="H2:P2"/>
    <mergeCell ref="A3:B3"/>
    <mergeCell ref="AC6:AC9"/>
    <mergeCell ref="A16:F16"/>
    <mergeCell ref="A12:F12"/>
    <mergeCell ref="G52:R53"/>
    <mergeCell ref="G60:R61"/>
    <mergeCell ref="Z6:Z9"/>
    <mergeCell ref="AA6:AA9"/>
    <mergeCell ref="AB6:AB9"/>
    <mergeCell ref="P8:Q8"/>
    <mergeCell ref="R8:S8"/>
    <mergeCell ref="T8:U8"/>
    <mergeCell ref="V8:W8"/>
    <mergeCell ref="X8:X9"/>
    <mergeCell ref="G8:H8"/>
    <mergeCell ref="I8:J8"/>
    <mergeCell ref="K8:L8"/>
    <mergeCell ref="M8:N8"/>
    <mergeCell ref="O8:O9"/>
    <mergeCell ref="A42:AE42"/>
    <mergeCell ref="AE6:AE9"/>
    <mergeCell ref="G7:O7"/>
    <mergeCell ref="P7:X7"/>
    <mergeCell ref="G6:X6"/>
    <mergeCell ref="A5:F5"/>
    <mergeCell ref="G5:AE5"/>
    <mergeCell ref="A6:A9"/>
    <mergeCell ref="B6:B9"/>
    <mergeCell ref="C6:C9"/>
    <mergeCell ref="D6:F7"/>
    <mergeCell ref="D8:D9"/>
    <mergeCell ref="E8:E9"/>
    <mergeCell ref="F8:F9"/>
    <mergeCell ref="Y6:Y9"/>
    <mergeCell ref="AD6:AD9"/>
  </mergeCells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rowBreaks count="1" manualBreakCount="1">
    <brk id="41" max="3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zoomScale="70" zoomScaleNormal="70" zoomScaleSheetLayoutView="80" workbookViewId="0">
      <pane xSplit="30" ySplit="9" topLeftCell="AE10" activePane="bottomRight" state="frozen"/>
      <selection pane="topRight" activeCell="AE1" sqref="AE1"/>
      <selection pane="bottomLeft" activeCell="A10" sqref="A10"/>
      <selection pane="bottomRight" activeCell="C53" sqref="C53"/>
    </sheetView>
  </sheetViews>
  <sheetFormatPr defaultRowHeight="15"/>
  <cols>
    <col min="1" max="1" width="6.28515625" customWidth="1"/>
    <col min="2" max="2" width="53.28515625" customWidth="1"/>
    <col min="3" max="3" width="22.7109375" customWidth="1"/>
    <col min="4" max="4" width="7.28515625" customWidth="1"/>
    <col min="5" max="5" width="9.7109375" customWidth="1"/>
    <col min="6" max="6" width="6" customWidth="1"/>
    <col min="7" max="14" width="7" customWidth="1"/>
    <col min="15" max="15" width="6.42578125" customWidth="1"/>
    <col min="16" max="23" width="5.85546875" customWidth="1"/>
    <col min="24" max="24" width="5.42578125" customWidth="1"/>
    <col min="25" max="25" width="11" customWidth="1"/>
    <col min="26" max="29" width="8.140625" customWidth="1"/>
    <col min="30" max="30" width="10.7109375" customWidth="1"/>
    <col min="31" max="31" width="9.42578125" customWidth="1"/>
  </cols>
  <sheetData>
    <row r="1" spans="1:32" s="39" customFormat="1" ht="42.75" customHeight="1">
      <c r="A1" s="550" t="s">
        <v>263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104"/>
    </row>
    <row r="2" spans="1:32" s="39" customFormat="1" ht="42.75" customHeight="1">
      <c r="A2" s="568" t="s">
        <v>112</v>
      </c>
      <c r="B2" s="568"/>
      <c r="C2" s="140" t="s">
        <v>113</v>
      </c>
      <c r="E2" s="128"/>
      <c r="F2" s="128"/>
      <c r="G2" s="128"/>
      <c r="H2" s="570" t="s">
        <v>149</v>
      </c>
      <c r="I2" s="570"/>
      <c r="J2" s="570"/>
      <c r="K2" s="570"/>
      <c r="L2" s="570"/>
      <c r="M2" s="570"/>
      <c r="N2" s="570"/>
      <c r="O2" s="570"/>
      <c r="P2" s="570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</row>
    <row r="3" spans="1:32" s="39" customFormat="1" ht="42.75" customHeight="1">
      <c r="A3" s="569" t="s">
        <v>111</v>
      </c>
      <c r="B3" s="569"/>
      <c r="C3" s="141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</row>
    <row r="4" spans="1:32" s="39" customFormat="1" ht="28.5" customHeight="1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</row>
    <row r="5" spans="1:32" ht="15" customHeight="1">
      <c r="A5" s="552"/>
      <c r="B5" s="553"/>
      <c r="C5" s="553"/>
      <c r="D5" s="553"/>
      <c r="E5" s="553"/>
      <c r="F5" s="554"/>
      <c r="G5" s="555" t="s">
        <v>103</v>
      </c>
      <c r="H5" s="556"/>
      <c r="I5" s="556"/>
      <c r="J5" s="556"/>
      <c r="K5" s="556"/>
      <c r="L5" s="556"/>
      <c r="M5" s="556"/>
      <c r="N5" s="556"/>
      <c r="O5" s="556"/>
      <c r="P5" s="556"/>
      <c r="Q5" s="556"/>
      <c r="R5" s="556"/>
      <c r="S5" s="556"/>
      <c r="T5" s="556"/>
      <c r="U5" s="556"/>
      <c r="V5" s="556"/>
      <c r="W5" s="556"/>
      <c r="X5" s="556"/>
      <c r="Y5" s="556"/>
      <c r="Z5" s="556"/>
      <c r="AA5" s="556"/>
      <c r="AB5" s="556"/>
      <c r="AC5" s="556"/>
      <c r="AD5" s="556"/>
      <c r="AE5" s="557"/>
      <c r="AF5" s="98"/>
    </row>
    <row r="6" spans="1:32" ht="15" customHeight="1">
      <c r="A6" s="583" t="s">
        <v>0</v>
      </c>
      <c r="B6" s="578" t="s">
        <v>4</v>
      </c>
      <c r="C6" s="578" t="s">
        <v>1</v>
      </c>
      <c r="D6" s="603" t="s">
        <v>8</v>
      </c>
      <c r="E6" s="603"/>
      <c r="F6" s="603"/>
      <c r="G6" s="640" t="s">
        <v>107</v>
      </c>
      <c r="H6" s="641"/>
      <c r="I6" s="641"/>
      <c r="J6" s="641"/>
      <c r="K6" s="641"/>
      <c r="L6" s="641"/>
      <c r="M6" s="641"/>
      <c r="N6" s="641"/>
      <c r="O6" s="641"/>
      <c r="P6" s="641"/>
      <c r="Q6" s="641"/>
      <c r="R6" s="641"/>
      <c r="S6" s="641"/>
      <c r="T6" s="641"/>
      <c r="U6" s="641"/>
      <c r="V6" s="641"/>
      <c r="W6" s="641"/>
      <c r="X6" s="642"/>
      <c r="Y6" s="561" t="s">
        <v>5</v>
      </c>
      <c r="Z6" s="561" t="s">
        <v>89</v>
      </c>
      <c r="AA6" s="561" t="s">
        <v>88</v>
      </c>
      <c r="AB6" s="561" t="s">
        <v>94</v>
      </c>
      <c r="AC6" s="561" t="s">
        <v>90</v>
      </c>
      <c r="AD6" s="561" t="s">
        <v>14</v>
      </c>
      <c r="AE6" s="561" t="s">
        <v>6</v>
      </c>
    </row>
    <row r="7" spans="1:32" ht="15" customHeight="1">
      <c r="A7" s="583"/>
      <c r="B7" s="578"/>
      <c r="C7" s="578"/>
      <c r="D7" s="603"/>
      <c r="E7" s="603"/>
      <c r="F7" s="603"/>
      <c r="G7" s="564" t="s">
        <v>99</v>
      </c>
      <c r="H7" s="577"/>
      <c r="I7" s="577"/>
      <c r="J7" s="577"/>
      <c r="K7" s="577"/>
      <c r="L7" s="577"/>
      <c r="M7" s="577"/>
      <c r="N7" s="577"/>
      <c r="O7" s="565"/>
      <c r="P7" s="558" t="s">
        <v>100</v>
      </c>
      <c r="Q7" s="559"/>
      <c r="R7" s="559"/>
      <c r="S7" s="559"/>
      <c r="T7" s="559"/>
      <c r="U7" s="559"/>
      <c r="V7" s="559"/>
      <c r="W7" s="559"/>
      <c r="X7" s="560"/>
      <c r="Y7" s="562"/>
      <c r="Z7" s="562"/>
      <c r="AA7" s="562"/>
      <c r="AB7" s="562"/>
      <c r="AC7" s="562"/>
      <c r="AD7" s="562"/>
      <c r="AE7" s="562"/>
    </row>
    <row r="8" spans="1:32" ht="19.5" customHeight="1">
      <c r="A8" s="584"/>
      <c r="B8" s="571"/>
      <c r="C8" s="571"/>
      <c r="D8" s="571" t="s">
        <v>2</v>
      </c>
      <c r="E8" s="571" t="s">
        <v>13</v>
      </c>
      <c r="F8" s="571" t="s">
        <v>12</v>
      </c>
      <c r="G8" s="564" t="s">
        <v>89</v>
      </c>
      <c r="H8" s="565"/>
      <c r="I8" s="564" t="s">
        <v>88</v>
      </c>
      <c r="J8" s="565"/>
      <c r="K8" s="564" t="s">
        <v>94</v>
      </c>
      <c r="L8" s="565"/>
      <c r="M8" s="564" t="s">
        <v>90</v>
      </c>
      <c r="N8" s="565"/>
      <c r="O8" s="566" t="s">
        <v>7</v>
      </c>
      <c r="P8" s="558" t="s">
        <v>89</v>
      </c>
      <c r="Q8" s="560"/>
      <c r="R8" s="558" t="s">
        <v>88</v>
      </c>
      <c r="S8" s="560"/>
      <c r="T8" s="558" t="s">
        <v>94</v>
      </c>
      <c r="U8" s="560"/>
      <c r="V8" s="558" t="s">
        <v>90</v>
      </c>
      <c r="W8" s="560"/>
      <c r="X8" s="574" t="s">
        <v>7</v>
      </c>
      <c r="Y8" s="562"/>
      <c r="Z8" s="562"/>
      <c r="AA8" s="562"/>
      <c r="AB8" s="562"/>
      <c r="AC8" s="562"/>
      <c r="AD8" s="562"/>
      <c r="AE8" s="562"/>
    </row>
    <row r="9" spans="1:32" ht="50.25" customHeight="1">
      <c r="A9" s="584"/>
      <c r="B9" s="571"/>
      <c r="C9" s="571"/>
      <c r="D9" s="644"/>
      <c r="E9" s="644"/>
      <c r="F9" s="644"/>
      <c r="G9" s="172" t="s">
        <v>15</v>
      </c>
      <c r="H9" s="172" t="s">
        <v>16</v>
      </c>
      <c r="I9" s="172" t="s">
        <v>15</v>
      </c>
      <c r="J9" s="172" t="s">
        <v>16</v>
      </c>
      <c r="K9" s="172" t="s">
        <v>15</v>
      </c>
      <c r="L9" s="172" t="s">
        <v>16</v>
      </c>
      <c r="M9" s="172" t="s">
        <v>15</v>
      </c>
      <c r="N9" s="172" t="s">
        <v>16</v>
      </c>
      <c r="O9" s="643"/>
      <c r="P9" s="174" t="s">
        <v>15</v>
      </c>
      <c r="Q9" s="174" t="s">
        <v>16</v>
      </c>
      <c r="R9" s="174" t="s">
        <v>15</v>
      </c>
      <c r="S9" s="174" t="s">
        <v>16</v>
      </c>
      <c r="T9" s="174" t="s">
        <v>15</v>
      </c>
      <c r="U9" s="174" t="s">
        <v>16</v>
      </c>
      <c r="V9" s="174" t="s">
        <v>15</v>
      </c>
      <c r="W9" s="174" t="s">
        <v>16</v>
      </c>
      <c r="X9" s="645"/>
      <c r="Y9" s="562"/>
      <c r="Z9" s="562"/>
      <c r="AA9" s="562"/>
      <c r="AB9" s="562"/>
      <c r="AC9" s="562"/>
      <c r="AD9" s="562"/>
      <c r="AE9" s="562"/>
    </row>
    <row r="10" spans="1:32" ht="26.25" customHeight="1">
      <c r="A10" s="50" t="s">
        <v>25</v>
      </c>
      <c r="B10" s="51"/>
      <c r="C10" s="52"/>
      <c r="D10" s="51"/>
      <c r="E10" s="51"/>
      <c r="F10" s="51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4"/>
    </row>
    <row r="11" spans="1:32" ht="29.25" customHeight="1">
      <c r="A11" s="57">
        <v>5.0999999999999996</v>
      </c>
      <c r="B11" s="100" t="s">
        <v>51</v>
      </c>
      <c r="C11" s="45" t="str">
        <f>"0912-7LEK-C"&amp;A11&amp;"-"&amp;UPPER(LEFT(B11,1))</f>
        <v>0912-7LEK-C5.1-P</v>
      </c>
      <c r="D11" s="46">
        <v>11</v>
      </c>
      <c r="E11" s="167" t="s">
        <v>359</v>
      </c>
      <c r="F11" s="47"/>
      <c r="G11" s="427">
        <v>15</v>
      </c>
      <c r="H11" s="435">
        <v>20</v>
      </c>
      <c r="I11" s="427">
        <v>15</v>
      </c>
      <c r="J11" s="435">
        <v>25</v>
      </c>
      <c r="K11" s="427">
        <v>25</v>
      </c>
      <c r="L11" s="173"/>
      <c r="M11" s="173"/>
      <c r="N11" s="173"/>
      <c r="O11" s="427">
        <v>4</v>
      </c>
      <c r="P11" s="426">
        <v>15</v>
      </c>
      <c r="Q11" s="477">
        <v>25</v>
      </c>
      <c r="R11" s="426">
        <v>25</v>
      </c>
      <c r="S11" s="477">
        <v>25</v>
      </c>
      <c r="T11" s="426">
        <v>35</v>
      </c>
      <c r="U11" s="422"/>
      <c r="V11" s="422"/>
      <c r="W11" s="422"/>
      <c r="X11" s="426">
        <v>5</v>
      </c>
      <c r="Y11" s="48">
        <f>SUM(Z11:AC11)</f>
        <v>130</v>
      </c>
      <c r="Z11" s="48">
        <f t="shared" ref="Z11:Z18" si="0">SUM(G11,P11)</f>
        <v>30</v>
      </c>
      <c r="AA11" s="48">
        <f t="shared" ref="AA11:AA18" si="1">SUM(I11,R11)</f>
        <v>40</v>
      </c>
      <c r="AB11" s="48">
        <f t="shared" ref="AB11:AB18" si="2">SUM(K11,T11)</f>
        <v>60</v>
      </c>
      <c r="AC11" s="48">
        <f t="shared" ref="AC11:AC18" si="3">SUM(M11,V11)</f>
        <v>0</v>
      </c>
      <c r="AD11" s="48">
        <f>SUM(G11:N11,P11:W11)</f>
        <v>225</v>
      </c>
      <c r="AE11" s="48">
        <f t="shared" ref="AE11:AE18" si="4">SUM(O11,X11)</f>
        <v>9</v>
      </c>
    </row>
    <row r="12" spans="1:32" ht="27.75" customHeight="1">
      <c r="A12" s="57">
        <v>5.2</v>
      </c>
      <c r="B12" s="100" t="s">
        <v>80</v>
      </c>
      <c r="C12" s="45" t="str">
        <f t="shared" ref="C12:C17" si="5">"0912-7LEK-C"&amp;A12&amp;"-"&amp;UPPER(LEFT(B12,1))</f>
        <v>0912-7LEK-C5.2-C</v>
      </c>
      <c r="D12" s="46">
        <v>11</v>
      </c>
      <c r="E12" s="167" t="s">
        <v>246</v>
      </c>
      <c r="F12" s="47"/>
      <c r="G12" s="427">
        <v>15</v>
      </c>
      <c r="H12" s="435">
        <v>5</v>
      </c>
      <c r="I12" s="427">
        <v>15</v>
      </c>
      <c r="J12" s="435">
        <v>15</v>
      </c>
      <c r="K12" s="427">
        <v>25</v>
      </c>
      <c r="L12" s="173"/>
      <c r="M12" s="173"/>
      <c r="N12" s="173"/>
      <c r="O12" s="427">
        <v>3</v>
      </c>
      <c r="P12" s="426">
        <v>15</v>
      </c>
      <c r="Q12" s="477">
        <v>20</v>
      </c>
      <c r="R12" s="426">
        <v>15</v>
      </c>
      <c r="S12" s="477">
        <v>10</v>
      </c>
      <c r="T12" s="426">
        <v>15</v>
      </c>
      <c r="U12" s="422"/>
      <c r="V12" s="422"/>
      <c r="W12" s="422"/>
      <c r="X12" s="426">
        <v>3</v>
      </c>
      <c r="Y12" s="48">
        <f t="shared" ref="Y12:Y18" si="6">SUM(Z12:AC12)</f>
        <v>100</v>
      </c>
      <c r="Z12" s="48">
        <f t="shared" si="0"/>
        <v>30</v>
      </c>
      <c r="AA12" s="48">
        <f t="shared" si="1"/>
        <v>30</v>
      </c>
      <c r="AB12" s="48">
        <f t="shared" si="2"/>
        <v>40</v>
      </c>
      <c r="AC12" s="48">
        <f t="shared" si="3"/>
        <v>0</v>
      </c>
      <c r="AD12" s="48">
        <f t="shared" ref="AD12:AD18" si="7">SUM(G12:N12,P12:W12)</f>
        <v>150</v>
      </c>
      <c r="AE12" s="48">
        <f t="shared" si="4"/>
        <v>6</v>
      </c>
    </row>
    <row r="13" spans="1:32" ht="24" customHeight="1">
      <c r="A13" s="57">
        <v>5.4</v>
      </c>
      <c r="B13" s="100" t="s">
        <v>53</v>
      </c>
      <c r="C13" s="45" t="str">
        <f t="shared" si="5"/>
        <v>0912-7LEK-C5.4-N</v>
      </c>
      <c r="D13" s="46">
        <v>7</v>
      </c>
      <c r="E13" s="47">
        <v>7</v>
      </c>
      <c r="F13" s="47"/>
      <c r="G13" s="427">
        <v>15</v>
      </c>
      <c r="H13" s="435">
        <v>20</v>
      </c>
      <c r="I13" s="427">
        <v>15</v>
      </c>
      <c r="J13" s="435">
        <v>20</v>
      </c>
      <c r="K13" s="427">
        <v>30</v>
      </c>
      <c r="L13" s="182"/>
      <c r="M13" s="136"/>
      <c r="N13" s="182"/>
      <c r="O13" s="427">
        <v>4</v>
      </c>
      <c r="P13" s="426"/>
      <c r="Q13" s="477"/>
      <c r="R13" s="426"/>
      <c r="S13" s="477"/>
      <c r="T13" s="426"/>
      <c r="U13" s="185"/>
      <c r="V13" s="134"/>
      <c r="W13" s="185"/>
      <c r="X13" s="426"/>
      <c r="Y13" s="48">
        <f t="shared" si="6"/>
        <v>60</v>
      </c>
      <c r="Z13" s="48">
        <f t="shared" si="0"/>
        <v>15</v>
      </c>
      <c r="AA13" s="48">
        <f t="shared" si="1"/>
        <v>15</v>
      </c>
      <c r="AB13" s="48">
        <f t="shared" si="2"/>
        <v>30</v>
      </c>
      <c r="AC13" s="48">
        <f t="shared" si="3"/>
        <v>0</v>
      </c>
      <c r="AD13" s="48">
        <f t="shared" si="7"/>
        <v>100</v>
      </c>
      <c r="AE13" s="48">
        <f t="shared" si="4"/>
        <v>4</v>
      </c>
    </row>
    <row r="14" spans="1:32" ht="24" customHeight="1">
      <c r="A14" s="57">
        <v>5.5</v>
      </c>
      <c r="B14" s="100" t="s">
        <v>54</v>
      </c>
      <c r="C14" s="45" t="str">
        <f t="shared" si="5"/>
        <v>0912-7LEK-C5.5-P</v>
      </c>
      <c r="D14" s="46">
        <v>12</v>
      </c>
      <c r="E14" s="47">
        <v>8</v>
      </c>
      <c r="F14" s="47"/>
      <c r="G14" s="427"/>
      <c r="H14" s="435"/>
      <c r="I14" s="427"/>
      <c r="J14" s="435"/>
      <c r="K14" s="427"/>
      <c r="L14" s="182"/>
      <c r="M14" s="136"/>
      <c r="N14" s="182"/>
      <c r="O14" s="136"/>
      <c r="P14" s="426">
        <v>20</v>
      </c>
      <c r="Q14" s="477">
        <v>20</v>
      </c>
      <c r="R14" s="426">
        <v>20</v>
      </c>
      <c r="S14" s="477">
        <v>15</v>
      </c>
      <c r="T14" s="426">
        <v>25</v>
      </c>
      <c r="U14" s="185"/>
      <c r="V14" s="134"/>
      <c r="W14" s="185"/>
      <c r="X14" s="134">
        <v>4</v>
      </c>
      <c r="Y14" s="48">
        <f t="shared" si="6"/>
        <v>65</v>
      </c>
      <c r="Z14" s="48">
        <f t="shared" si="0"/>
        <v>20</v>
      </c>
      <c r="AA14" s="48">
        <f t="shared" si="1"/>
        <v>20</v>
      </c>
      <c r="AB14" s="48">
        <f t="shared" si="2"/>
        <v>25</v>
      </c>
      <c r="AC14" s="48">
        <f t="shared" si="3"/>
        <v>0</v>
      </c>
      <c r="AD14" s="48">
        <f t="shared" si="7"/>
        <v>100</v>
      </c>
      <c r="AE14" s="48">
        <f t="shared" si="4"/>
        <v>4</v>
      </c>
    </row>
    <row r="15" spans="1:32" ht="24" customHeight="1">
      <c r="A15" s="57">
        <v>5.6</v>
      </c>
      <c r="B15" s="100" t="s">
        <v>55</v>
      </c>
      <c r="C15" s="45" t="str">
        <f t="shared" si="5"/>
        <v>0912-7LEK-C5.6-O</v>
      </c>
      <c r="D15" s="46">
        <v>7</v>
      </c>
      <c r="E15" s="47">
        <v>7</v>
      </c>
      <c r="F15" s="47"/>
      <c r="G15" s="427">
        <v>15</v>
      </c>
      <c r="H15" s="435">
        <v>15</v>
      </c>
      <c r="I15" s="427">
        <v>15</v>
      </c>
      <c r="J15" s="435">
        <v>30</v>
      </c>
      <c r="K15" s="427">
        <v>25</v>
      </c>
      <c r="L15" s="182"/>
      <c r="M15" s="136"/>
      <c r="N15" s="182"/>
      <c r="O15" s="136">
        <v>4</v>
      </c>
      <c r="P15" s="426"/>
      <c r="Q15" s="477"/>
      <c r="R15" s="426"/>
      <c r="S15" s="477"/>
      <c r="T15" s="426"/>
      <c r="U15" s="185"/>
      <c r="V15" s="134"/>
      <c r="W15" s="185"/>
      <c r="X15" s="134"/>
      <c r="Y15" s="48">
        <f t="shared" si="6"/>
        <v>55</v>
      </c>
      <c r="Z15" s="48">
        <f t="shared" si="0"/>
        <v>15</v>
      </c>
      <c r="AA15" s="48">
        <f t="shared" si="1"/>
        <v>15</v>
      </c>
      <c r="AB15" s="48">
        <f t="shared" si="2"/>
        <v>25</v>
      </c>
      <c r="AC15" s="48">
        <f t="shared" si="3"/>
        <v>0</v>
      </c>
      <c r="AD15" s="48">
        <f t="shared" si="7"/>
        <v>100</v>
      </c>
      <c r="AE15" s="48">
        <f t="shared" si="4"/>
        <v>4</v>
      </c>
    </row>
    <row r="16" spans="1:32" ht="24" customHeight="1">
      <c r="A16" s="57">
        <v>5.9</v>
      </c>
      <c r="B16" s="100" t="s">
        <v>58</v>
      </c>
      <c r="C16" s="45" t="str">
        <f>RAZEM!C43</f>
        <v>0912-7LEK-C5.9-CZ</v>
      </c>
      <c r="D16" s="46">
        <v>7</v>
      </c>
      <c r="E16" s="47">
        <v>7</v>
      </c>
      <c r="F16" s="47"/>
      <c r="G16" s="427">
        <v>20</v>
      </c>
      <c r="H16" s="435">
        <v>15</v>
      </c>
      <c r="I16" s="427">
        <v>15</v>
      </c>
      <c r="J16" s="435">
        <v>10</v>
      </c>
      <c r="K16" s="427">
        <v>15</v>
      </c>
      <c r="L16" s="182"/>
      <c r="M16" s="136"/>
      <c r="N16" s="182"/>
      <c r="O16" s="136">
        <v>3</v>
      </c>
      <c r="P16" s="426"/>
      <c r="Q16" s="477"/>
      <c r="R16" s="426"/>
      <c r="S16" s="477"/>
      <c r="T16" s="426"/>
      <c r="U16" s="185"/>
      <c r="V16" s="134"/>
      <c r="W16" s="185"/>
      <c r="X16" s="134"/>
      <c r="Y16" s="48">
        <f t="shared" si="6"/>
        <v>50</v>
      </c>
      <c r="Z16" s="48">
        <f t="shared" si="0"/>
        <v>20</v>
      </c>
      <c r="AA16" s="48">
        <f t="shared" si="1"/>
        <v>15</v>
      </c>
      <c r="AB16" s="48">
        <f t="shared" si="2"/>
        <v>15</v>
      </c>
      <c r="AC16" s="48">
        <f t="shared" si="3"/>
        <v>0</v>
      </c>
      <c r="AD16" s="48">
        <f t="shared" si="7"/>
        <v>75</v>
      </c>
      <c r="AE16" s="48">
        <v>3</v>
      </c>
    </row>
    <row r="17" spans="1:31" ht="24" customHeight="1">
      <c r="A17" s="165" t="s">
        <v>259</v>
      </c>
      <c r="B17" s="100" t="s">
        <v>59</v>
      </c>
      <c r="C17" s="45" t="str">
        <f t="shared" si="5"/>
        <v>0912-7LEK-C5.10-R</v>
      </c>
      <c r="D17" s="46">
        <v>7</v>
      </c>
      <c r="E17" s="47">
        <v>7</v>
      </c>
      <c r="F17" s="47"/>
      <c r="G17" s="427">
        <v>15</v>
      </c>
      <c r="H17" s="435">
        <v>15</v>
      </c>
      <c r="I17" s="427">
        <v>15</v>
      </c>
      <c r="J17" s="435">
        <v>10</v>
      </c>
      <c r="K17" s="427">
        <v>20</v>
      </c>
      <c r="L17" s="182"/>
      <c r="M17" s="136"/>
      <c r="N17" s="182"/>
      <c r="O17" s="136">
        <v>3</v>
      </c>
      <c r="P17" s="426"/>
      <c r="Q17" s="477"/>
      <c r="R17" s="426"/>
      <c r="S17" s="477"/>
      <c r="T17" s="134"/>
      <c r="U17" s="185"/>
      <c r="V17" s="134"/>
      <c r="W17" s="185"/>
      <c r="X17" s="134"/>
      <c r="Y17" s="48">
        <f t="shared" si="6"/>
        <v>50</v>
      </c>
      <c r="Z17" s="48">
        <f t="shared" si="0"/>
        <v>15</v>
      </c>
      <c r="AA17" s="48">
        <f t="shared" si="1"/>
        <v>15</v>
      </c>
      <c r="AB17" s="48">
        <f t="shared" si="2"/>
        <v>20</v>
      </c>
      <c r="AC17" s="48">
        <f t="shared" si="3"/>
        <v>0</v>
      </c>
      <c r="AD17" s="48">
        <f t="shared" si="7"/>
        <v>75</v>
      </c>
      <c r="AE17" s="48">
        <f t="shared" si="4"/>
        <v>3</v>
      </c>
    </row>
    <row r="18" spans="1:31" ht="24" customHeight="1">
      <c r="A18" s="99">
        <v>5.12</v>
      </c>
      <c r="B18" s="100" t="s">
        <v>61</v>
      </c>
      <c r="C18" s="45" t="str">
        <f>RAZEM!C46</f>
        <v>0912-7LEK-C5.12-FK</v>
      </c>
      <c r="D18" s="46">
        <v>8</v>
      </c>
      <c r="E18" s="47">
        <v>8</v>
      </c>
      <c r="F18" s="47"/>
      <c r="G18" s="136"/>
      <c r="H18" s="182"/>
      <c r="I18" s="136"/>
      <c r="J18" s="182"/>
      <c r="K18" s="136"/>
      <c r="L18" s="182"/>
      <c r="M18" s="136"/>
      <c r="N18" s="182"/>
      <c r="O18" s="136"/>
      <c r="P18" s="426">
        <v>30</v>
      </c>
      <c r="Q18" s="477">
        <v>20</v>
      </c>
      <c r="R18" s="426">
        <v>35</v>
      </c>
      <c r="S18" s="477">
        <v>15</v>
      </c>
      <c r="T18" s="134"/>
      <c r="U18" s="422"/>
      <c r="V18" s="134"/>
      <c r="W18" s="185"/>
      <c r="X18" s="134">
        <v>4</v>
      </c>
      <c r="Y18" s="48">
        <f t="shared" si="6"/>
        <v>65</v>
      </c>
      <c r="Z18" s="48">
        <f t="shared" si="0"/>
        <v>30</v>
      </c>
      <c r="AA18" s="48">
        <f t="shared" si="1"/>
        <v>35</v>
      </c>
      <c r="AB18" s="48">
        <f t="shared" si="2"/>
        <v>0</v>
      </c>
      <c r="AC18" s="48">
        <f t="shared" si="3"/>
        <v>0</v>
      </c>
      <c r="AD18" s="48">
        <f t="shared" si="7"/>
        <v>100</v>
      </c>
      <c r="AE18" s="48">
        <f t="shared" si="4"/>
        <v>4</v>
      </c>
    </row>
    <row r="19" spans="1:31" ht="15.75">
      <c r="A19" s="580" t="s">
        <v>9</v>
      </c>
      <c r="B19" s="581"/>
      <c r="C19" s="582"/>
      <c r="D19" s="49"/>
      <c r="E19" s="49"/>
      <c r="F19" s="49"/>
      <c r="G19" s="56">
        <f t="shared" ref="G19:AE19" si="8">SUM(G11:G18)</f>
        <v>95</v>
      </c>
      <c r="H19" s="183">
        <f t="shared" si="8"/>
        <v>90</v>
      </c>
      <c r="I19" s="56">
        <f t="shared" si="8"/>
        <v>90</v>
      </c>
      <c r="J19" s="183">
        <f t="shared" si="8"/>
        <v>110</v>
      </c>
      <c r="K19" s="56">
        <f t="shared" si="8"/>
        <v>140</v>
      </c>
      <c r="L19" s="183">
        <f t="shared" si="8"/>
        <v>0</v>
      </c>
      <c r="M19" s="56">
        <f t="shared" si="8"/>
        <v>0</v>
      </c>
      <c r="N19" s="183">
        <f t="shared" si="8"/>
        <v>0</v>
      </c>
      <c r="O19" s="56">
        <f t="shared" si="8"/>
        <v>21</v>
      </c>
      <c r="P19" s="56">
        <f t="shared" si="8"/>
        <v>80</v>
      </c>
      <c r="Q19" s="183">
        <f t="shared" si="8"/>
        <v>85</v>
      </c>
      <c r="R19" s="56">
        <f t="shared" si="8"/>
        <v>95</v>
      </c>
      <c r="S19" s="482">
        <f t="shared" si="8"/>
        <v>65</v>
      </c>
      <c r="T19" s="56">
        <f t="shared" si="8"/>
        <v>75</v>
      </c>
      <c r="U19" s="183">
        <f t="shared" si="8"/>
        <v>0</v>
      </c>
      <c r="V19" s="56">
        <f t="shared" si="8"/>
        <v>0</v>
      </c>
      <c r="W19" s="183">
        <f t="shared" si="8"/>
        <v>0</v>
      </c>
      <c r="X19" s="56">
        <f t="shared" si="8"/>
        <v>16</v>
      </c>
      <c r="Y19" s="56">
        <f t="shared" si="8"/>
        <v>575</v>
      </c>
      <c r="Z19" s="56">
        <f t="shared" si="8"/>
        <v>175</v>
      </c>
      <c r="AA19" s="56">
        <f t="shared" si="8"/>
        <v>185</v>
      </c>
      <c r="AB19" s="56">
        <f t="shared" si="8"/>
        <v>215</v>
      </c>
      <c r="AC19" s="56">
        <f t="shared" si="8"/>
        <v>0</v>
      </c>
      <c r="AD19" s="56">
        <f t="shared" si="8"/>
        <v>925</v>
      </c>
      <c r="AE19" s="56">
        <f t="shared" si="8"/>
        <v>37</v>
      </c>
    </row>
    <row r="20" spans="1:31" ht="25.5" customHeight="1">
      <c r="A20" s="50" t="s">
        <v>26</v>
      </c>
      <c r="B20" s="51"/>
      <c r="C20" s="52"/>
      <c r="D20" s="51"/>
      <c r="E20" s="51"/>
      <c r="F20" s="51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4"/>
    </row>
    <row r="21" spans="1:31" ht="25.5" customHeight="1">
      <c r="A21" s="57">
        <v>6.1</v>
      </c>
      <c r="B21" s="100" t="s">
        <v>62</v>
      </c>
      <c r="C21" s="45" t="str">
        <f>"0912-7LEK-C"&amp;A21&amp;"-"&amp;UPPER(LEFT(B21,1))&amp;"iIT"</f>
        <v>0912-7LEK-C6.1-AiIT</v>
      </c>
      <c r="D21" s="46">
        <v>8</v>
      </c>
      <c r="E21" s="47">
        <v>7.8</v>
      </c>
      <c r="F21" s="47"/>
      <c r="G21" s="136">
        <v>15</v>
      </c>
      <c r="H21" s="182">
        <v>10</v>
      </c>
      <c r="I21" s="136">
        <v>15</v>
      </c>
      <c r="J21" s="182">
        <v>10</v>
      </c>
      <c r="K21" s="136">
        <v>25</v>
      </c>
      <c r="L21" s="136"/>
      <c r="M21" s="136"/>
      <c r="N21" s="136"/>
      <c r="O21" s="136">
        <v>3</v>
      </c>
      <c r="P21" s="134">
        <v>15</v>
      </c>
      <c r="Q21" s="185">
        <v>5</v>
      </c>
      <c r="R21" s="159">
        <v>15</v>
      </c>
      <c r="S21" s="185">
        <v>5</v>
      </c>
      <c r="T21" s="134">
        <v>10</v>
      </c>
      <c r="U21" s="185"/>
      <c r="V21" s="134"/>
      <c r="W21" s="185"/>
      <c r="X21" s="134">
        <v>2</v>
      </c>
      <c r="Y21" s="48">
        <f>SUM(Z21:AC21)</f>
        <v>95</v>
      </c>
      <c r="Z21" s="48">
        <f>SUM(G21,P21)</f>
        <v>30</v>
      </c>
      <c r="AA21" s="48">
        <f>SUM(I21,R21)</f>
        <v>30</v>
      </c>
      <c r="AB21" s="48">
        <f>SUM(K21,T21)</f>
        <v>35</v>
      </c>
      <c r="AC21" s="48">
        <f>SUM(M21,V21)</f>
        <v>0</v>
      </c>
      <c r="AD21" s="110">
        <f>SUM(G21:N21,P21:W21)</f>
        <v>125</v>
      </c>
      <c r="AE21" s="48">
        <f>SUM(O21,X21)</f>
        <v>5</v>
      </c>
    </row>
    <row r="22" spans="1:31" ht="24" customHeight="1">
      <c r="A22" s="57">
        <v>6.2</v>
      </c>
      <c r="B22" s="100" t="s">
        <v>63</v>
      </c>
      <c r="C22" s="45" t="str">
        <f>"0912-7LEK-C"&amp;A22&amp;"-"&amp;UPPER(LEFT(B22,1))</f>
        <v>0912-7LEK-C6.2-C</v>
      </c>
      <c r="D22" s="251">
        <v>12</v>
      </c>
      <c r="E22" s="167" t="s">
        <v>360</v>
      </c>
      <c r="F22" s="47"/>
      <c r="G22" s="136">
        <v>15</v>
      </c>
      <c r="H22" s="182">
        <v>10</v>
      </c>
      <c r="I22" s="136">
        <v>15</v>
      </c>
      <c r="J22" s="182">
        <v>10</v>
      </c>
      <c r="K22" s="136">
        <v>25</v>
      </c>
      <c r="L22" s="136"/>
      <c r="M22" s="136"/>
      <c r="N22" s="136"/>
      <c r="O22" s="136">
        <v>3</v>
      </c>
      <c r="P22" s="134">
        <v>15</v>
      </c>
      <c r="Q22" s="185">
        <v>5</v>
      </c>
      <c r="R22" s="134">
        <v>15</v>
      </c>
      <c r="S22" s="185">
        <v>15</v>
      </c>
      <c r="T22" s="134"/>
      <c r="U22" s="185"/>
      <c r="V22" s="134"/>
      <c r="W22" s="185"/>
      <c r="X22" s="134">
        <v>2</v>
      </c>
      <c r="Y22" s="48">
        <f t="shared" ref="Y22:Y23" si="9">SUM(Z22:AC22)</f>
        <v>85</v>
      </c>
      <c r="Z22" s="48">
        <f>SUM(G22,P22)</f>
        <v>30</v>
      </c>
      <c r="AA22" s="48">
        <f>SUM(I22,R22)</f>
        <v>30</v>
      </c>
      <c r="AB22" s="48">
        <f t="shared" ref="AB22:AB23" si="10">SUM(K22,T22)</f>
        <v>25</v>
      </c>
      <c r="AC22" s="48">
        <f t="shared" ref="AC22:AC23" si="11">SUM(M22,V22)</f>
        <v>0</v>
      </c>
      <c r="AD22" s="48">
        <f>SUM(G22:N22,P22:W22)</f>
        <v>125</v>
      </c>
      <c r="AE22" s="48">
        <f>SUM(O22,X22)</f>
        <v>5</v>
      </c>
    </row>
    <row r="23" spans="1:31" ht="22.5" customHeight="1">
      <c r="A23" s="201">
        <v>6.13</v>
      </c>
      <c r="B23" s="59" t="s">
        <v>74</v>
      </c>
      <c r="C23" s="45" t="str">
        <f>RAZEM!C61</f>
        <v>0912-7LEK-C6.13-DO</v>
      </c>
      <c r="D23" s="46">
        <v>8</v>
      </c>
      <c r="E23" s="47">
        <v>8</v>
      </c>
      <c r="F23" s="47"/>
      <c r="G23" s="136"/>
      <c r="H23" s="182"/>
      <c r="I23" s="136"/>
      <c r="J23" s="182"/>
      <c r="K23" s="136"/>
      <c r="L23" s="136"/>
      <c r="M23" s="136"/>
      <c r="N23" s="136"/>
      <c r="O23" s="136"/>
      <c r="P23" s="134">
        <v>15</v>
      </c>
      <c r="Q23" s="185">
        <v>10</v>
      </c>
      <c r="R23" s="134">
        <v>15</v>
      </c>
      <c r="S23" s="185">
        <v>10</v>
      </c>
      <c r="T23" s="134">
        <v>25</v>
      </c>
      <c r="U23" s="185"/>
      <c r="V23" s="134"/>
      <c r="W23" s="185"/>
      <c r="X23" s="134">
        <v>3</v>
      </c>
      <c r="Y23" s="48">
        <f t="shared" si="9"/>
        <v>55</v>
      </c>
      <c r="Z23" s="48">
        <f>SUM(G23,P23)</f>
        <v>15</v>
      </c>
      <c r="AA23" s="48">
        <f>SUM(I23,R23)</f>
        <v>15</v>
      </c>
      <c r="AB23" s="48">
        <f t="shared" si="10"/>
        <v>25</v>
      </c>
      <c r="AC23" s="48">
        <f t="shared" si="11"/>
        <v>0</v>
      </c>
      <c r="AD23" s="48">
        <f>SUM(G23:N23,P23:W23)</f>
        <v>75</v>
      </c>
      <c r="AE23" s="48">
        <f>SUM(O23,X23)</f>
        <v>3</v>
      </c>
    </row>
    <row r="24" spans="1:31" ht="15.75">
      <c r="A24" s="580" t="s">
        <v>9</v>
      </c>
      <c r="B24" s="581"/>
      <c r="C24" s="582"/>
      <c r="D24" s="49"/>
      <c r="E24" s="49"/>
      <c r="F24" s="49"/>
      <c r="G24" s="56">
        <f t="shared" ref="G24:W24" si="12">SUM(G21:G23)</f>
        <v>30</v>
      </c>
      <c r="H24" s="183">
        <f t="shared" si="12"/>
        <v>20</v>
      </c>
      <c r="I24" s="56">
        <f t="shared" si="12"/>
        <v>30</v>
      </c>
      <c r="J24" s="56">
        <f t="shared" si="12"/>
        <v>20</v>
      </c>
      <c r="K24" s="56">
        <f t="shared" si="12"/>
        <v>50</v>
      </c>
      <c r="L24" s="56">
        <f t="shared" si="12"/>
        <v>0</v>
      </c>
      <c r="M24" s="56">
        <f t="shared" si="12"/>
        <v>0</v>
      </c>
      <c r="N24" s="56">
        <f t="shared" si="12"/>
        <v>0</v>
      </c>
      <c r="O24" s="56">
        <f>SUM(O21:O23)</f>
        <v>6</v>
      </c>
      <c r="P24" s="56">
        <f t="shared" si="12"/>
        <v>45</v>
      </c>
      <c r="Q24" s="183">
        <f t="shared" si="12"/>
        <v>20</v>
      </c>
      <c r="R24" s="56">
        <f t="shared" si="12"/>
        <v>45</v>
      </c>
      <c r="S24" s="183">
        <f t="shared" si="12"/>
        <v>30</v>
      </c>
      <c r="T24" s="56">
        <f t="shared" si="12"/>
        <v>35</v>
      </c>
      <c r="U24" s="183">
        <f t="shared" si="12"/>
        <v>0</v>
      </c>
      <c r="V24" s="56">
        <f t="shared" si="12"/>
        <v>0</v>
      </c>
      <c r="W24" s="183">
        <f t="shared" si="12"/>
        <v>0</v>
      </c>
      <c r="X24" s="56">
        <f>SUM(X21:X23)</f>
        <v>7</v>
      </c>
      <c r="Y24" s="56">
        <f t="shared" ref="Y24:AE24" si="13">SUM(Y21:Y23)</f>
        <v>235</v>
      </c>
      <c r="Z24" s="56">
        <f t="shared" si="13"/>
        <v>75</v>
      </c>
      <c r="AA24" s="56">
        <f t="shared" si="13"/>
        <v>75</v>
      </c>
      <c r="AB24" s="56">
        <f t="shared" si="13"/>
        <v>85</v>
      </c>
      <c r="AC24" s="56">
        <f t="shared" si="13"/>
        <v>0</v>
      </c>
      <c r="AD24" s="56">
        <f t="shared" si="13"/>
        <v>325</v>
      </c>
      <c r="AE24" s="56">
        <f t="shared" si="13"/>
        <v>13</v>
      </c>
    </row>
    <row r="25" spans="1:31" ht="25.5" customHeight="1">
      <c r="A25" s="50" t="s">
        <v>29</v>
      </c>
      <c r="B25" s="51"/>
      <c r="C25" s="52"/>
      <c r="D25" s="51"/>
      <c r="E25" s="51"/>
      <c r="F25" s="51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4"/>
    </row>
    <row r="26" spans="1:31" ht="30.75" customHeight="1">
      <c r="A26" s="57">
        <v>9.5</v>
      </c>
      <c r="B26" s="59" t="s">
        <v>361</v>
      </c>
      <c r="C26" s="45" t="str">
        <f>"0912-7LEK-C"&amp;A26&amp;"-"&amp;UPPER(LEFT(B26,1))&amp;"T"</f>
        <v>0912-7LEK-C9.5-IT</v>
      </c>
      <c r="D26" s="46"/>
      <c r="E26" s="47">
        <v>8</v>
      </c>
      <c r="F26" s="47"/>
      <c r="G26" s="136"/>
      <c r="H26" s="182"/>
      <c r="I26" s="136"/>
      <c r="J26" s="182"/>
      <c r="K26" s="136"/>
      <c r="L26" s="182"/>
      <c r="M26" s="136"/>
      <c r="N26" s="136"/>
      <c r="O26" s="136"/>
      <c r="P26" s="134"/>
      <c r="Q26" s="185"/>
      <c r="R26" s="134">
        <v>60</v>
      </c>
      <c r="S26" s="185"/>
      <c r="T26" s="134"/>
      <c r="U26" s="185"/>
      <c r="V26" s="134"/>
      <c r="W26" s="185"/>
      <c r="X26" s="134">
        <v>2</v>
      </c>
      <c r="Y26" s="48">
        <f>SUM(Z26:AC26)</f>
        <v>60</v>
      </c>
      <c r="Z26" s="48">
        <f>SUM(G26,P26)</f>
        <v>0</v>
      </c>
      <c r="AA26" s="48">
        <f>SUM(I26,R26)</f>
        <v>60</v>
      </c>
      <c r="AB26" s="48">
        <f>SUM(K26,T26)</f>
        <v>0</v>
      </c>
      <c r="AC26" s="48">
        <f>SUM(M26,V26)</f>
        <v>0</v>
      </c>
      <c r="AD26" s="48">
        <f>SUM(G26:N26,P26:W26)</f>
        <v>60</v>
      </c>
      <c r="AE26" s="48">
        <f>SUM(O26,X26)</f>
        <v>2</v>
      </c>
    </row>
    <row r="27" spans="1:31" ht="30.75" customHeight="1">
      <c r="A27" s="57">
        <v>9.6</v>
      </c>
      <c r="B27" s="59" t="s">
        <v>51</v>
      </c>
      <c r="C27" s="45" t="str">
        <f>"12.6-3LEK-C"&amp;A27&amp;"-"&amp;UPPER(LEFT(B27,1))</f>
        <v>12.6-3LEK-C9.6-P</v>
      </c>
      <c r="D27" s="46"/>
      <c r="E27" s="47">
        <v>8</v>
      </c>
      <c r="F27" s="47"/>
      <c r="G27" s="136"/>
      <c r="H27" s="182"/>
      <c r="I27" s="136"/>
      <c r="J27" s="182"/>
      <c r="K27" s="136"/>
      <c r="L27" s="182"/>
      <c r="M27" s="136"/>
      <c r="N27" s="136"/>
      <c r="O27" s="136"/>
      <c r="P27" s="134"/>
      <c r="Q27" s="185"/>
      <c r="R27" s="134">
        <v>60</v>
      </c>
      <c r="S27" s="185"/>
      <c r="T27" s="134"/>
      <c r="U27" s="185"/>
      <c r="V27" s="134"/>
      <c r="W27" s="185"/>
      <c r="X27" s="134">
        <v>2</v>
      </c>
      <c r="Y27" s="48">
        <f>SUM(Z27:AC27)</f>
        <v>60</v>
      </c>
      <c r="Z27" s="48">
        <f>SUM(G27,P27)</f>
        <v>0</v>
      </c>
      <c r="AA27" s="48">
        <f>SUM(I27,R27)</f>
        <v>60</v>
      </c>
      <c r="AB27" s="48">
        <f>SUM(K27,T27)</f>
        <v>0</v>
      </c>
      <c r="AC27" s="48">
        <f>SUM(M27,V27)</f>
        <v>0</v>
      </c>
      <c r="AD27" s="48">
        <f>SUM(G27:N27,P27:W27)</f>
        <v>60</v>
      </c>
      <c r="AE27" s="48">
        <f>SUM(O27,X27)</f>
        <v>2</v>
      </c>
    </row>
    <row r="28" spans="1:31" ht="15.75">
      <c r="A28" s="580" t="s">
        <v>9</v>
      </c>
      <c r="B28" s="581"/>
      <c r="C28" s="582"/>
      <c r="D28" s="49"/>
      <c r="E28" s="49"/>
      <c r="F28" s="49"/>
      <c r="G28" s="56">
        <f t="shared" ref="G28:X28" si="14">SUM(G26:G27)</f>
        <v>0</v>
      </c>
      <c r="H28" s="183">
        <f t="shared" si="14"/>
        <v>0</v>
      </c>
      <c r="I28" s="56">
        <f t="shared" si="14"/>
        <v>0</v>
      </c>
      <c r="J28" s="183">
        <f t="shared" si="14"/>
        <v>0</v>
      </c>
      <c r="K28" s="56">
        <f t="shared" si="14"/>
        <v>0</v>
      </c>
      <c r="L28" s="183">
        <f t="shared" si="14"/>
        <v>0</v>
      </c>
      <c r="M28" s="56">
        <f t="shared" si="14"/>
        <v>0</v>
      </c>
      <c r="N28" s="56">
        <f t="shared" si="14"/>
        <v>0</v>
      </c>
      <c r="O28" s="56">
        <f t="shared" si="14"/>
        <v>0</v>
      </c>
      <c r="P28" s="56">
        <f t="shared" si="14"/>
        <v>0</v>
      </c>
      <c r="Q28" s="183">
        <f t="shared" si="14"/>
        <v>0</v>
      </c>
      <c r="R28" s="56">
        <f t="shared" si="14"/>
        <v>120</v>
      </c>
      <c r="S28" s="183">
        <f t="shared" si="14"/>
        <v>0</v>
      </c>
      <c r="T28" s="56">
        <f t="shared" si="14"/>
        <v>0</v>
      </c>
      <c r="U28" s="183">
        <f t="shared" si="14"/>
        <v>0</v>
      </c>
      <c r="V28" s="56">
        <f t="shared" si="14"/>
        <v>0</v>
      </c>
      <c r="W28" s="183">
        <f t="shared" si="14"/>
        <v>0</v>
      </c>
      <c r="X28" s="56">
        <f t="shared" si="14"/>
        <v>4</v>
      </c>
      <c r="Y28" s="56">
        <f t="shared" ref="Y28:AE28" si="15">SUM(Y26:Y27)</f>
        <v>120</v>
      </c>
      <c r="Z28" s="56">
        <f t="shared" si="15"/>
        <v>0</v>
      </c>
      <c r="AA28" s="56">
        <f t="shared" si="15"/>
        <v>120</v>
      </c>
      <c r="AB28" s="56">
        <f t="shared" si="15"/>
        <v>0</v>
      </c>
      <c r="AC28" s="56">
        <f t="shared" si="15"/>
        <v>0</v>
      </c>
      <c r="AD28" s="56">
        <f t="shared" si="15"/>
        <v>120</v>
      </c>
      <c r="AE28" s="56">
        <f t="shared" si="15"/>
        <v>4</v>
      </c>
    </row>
    <row r="29" spans="1:31" ht="15.75">
      <c r="A29" s="50" t="s">
        <v>311</v>
      </c>
      <c r="B29" s="51"/>
      <c r="C29" s="52"/>
      <c r="D29" s="115"/>
      <c r="E29" s="115"/>
      <c r="F29" s="115"/>
      <c r="G29" s="53"/>
      <c r="H29" s="53"/>
      <c r="I29" s="53"/>
      <c r="J29" s="190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4"/>
    </row>
    <row r="30" spans="1:31" ht="30.75" customHeight="1">
      <c r="A30" s="150">
        <v>11.3</v>
      </c>
      <c r="B30" s="60" t="s">
        <v>109</v>
      </c>
      <c r="C30" s="45" t="str">
        <f>"0912-7LEK-A"&amp;A30&amp;"-"&amp;UPPER(LEFT(B30,1))&amp;"F"</f>
        <v>0912-7LEK-A11.3-WF</v>
      </c>
      <c r="D30" s="123"/>
      <c r="E30" s="124"/>
      <c r="F30" s="252" t="s">
        <v>123</v>
      </c>
      <c r="G30" s="136"/>
      <c r="H30" s="182"/>
      <c r="I30" s="136">
        <v>15</v>
      </c>
      <c r="J30" s="182"/>
      <c r="K30" s="136"/>
      <c r="L30" s="182"/>
      <c r="M30" s="136"/>
      <c r="N30" s="182"/>
      <c r="O30" s="136">
        <v>0</v>
      </c>
      <c r="P30" s="134"/>
      <c r="Q30" s="185"/>
      <c r="R30" s="134">
        <v>15</v>
      </c>
      <c r="S30" s="185"/>
      <c r="T30" s="134"/>
      <c r="U30" s="185"/>
      <c r="V30" s="134"/>
      <c r="W30" s="185"/>
      <c r="X30" s="134">
        <v>0</v>
      </c>
      <c r="Y30" s="113">
        <f>SUM(Z30:AC30)</f>
        <v>30</v>
      </c>
      <c r="Z30" s="113">
        <f>SUM(G30,P30)</f>
        <v>0</v>
      </c>
      <c r="AA30" s="113">
        <f>SUM(I30,R30)</f>
        <v>30</v>
      </c>
      <c r="AB30" s="113">
        <f>SUM(K30,T30)</f>
        <v>0</v>
      </c>
      <c r="AC30" s="113">
        <f>SUM(M30,V30)</f>
        <v>0</v>
      </c>
      <c r="AD30" s="113">
        <f>SUM(G30:N30,P30:W30)</f>
        <v>30</v>
      </c>
      <c r="AE30" s="113">
        <f>SUM(O30,X30)</f>
        <v>0</v>
      </c>
    </row>
    <row r="31" spans="1:31" ht="15.75">
      <c r="A31" s="580" t="s">
        <v>9</v>
      </c>
      <c r="B31" s="581"/>
      <c r="C31" s="582"/>
      <c r="D31" s="49"/>
      <c r="E31" s="49"/>
      <c r="F31" s="49"/>
      <c r="G31" s="56">
        <f t="shared" ref="G31:X31" si="16">SUM(G30:G30)</f>
        <v>0</v>
      </c>
      <c r="H31" s="183">
        <f t="shared" si="16"/>
        <v>0</v>
      </c>
      <c r="I31" s="56">
        <f t="shared" si="16"/>
        <v>15</v>
      </c>
      <c r="J31" s="183">
        <f t="shared" si="16"/>
        <v>0</v>
      </c>
      <c r="K31" s="56">
        <f t="shared" si="16"/>
        <v>0</v>
      </c>
      <c r="L31" s="183">
        <f t="shared" si="16"/>
        <v>0</v>
      </c>
      <c r="M31" s="56">
        <f t="shared" si="16"/>
        <v>0</v>
      </c>
      <c r="N31" s="183">
        <f t="shared" si="16"/>
        <v>0</v>
      </c>
      <c r="O31" s="56">
        <f t="shared" si="16"/>
        <v>0</v>
      </c>
      <c r="P31" s="56">
        <f t="shared" si="16"/>
        <v>0</v>
      </c>
      <c r="Q31" s="183">
        <f t="shared" si="16"/>
        <v>0</v>
      </c>
      <c r="R31" s="56">
        <f t="shared" si="16"/>
        <v>15</v>
      </c>
      <c r="S31" s="183">
        <f t="shared" si="16"/>
        <v>0</v>
      </c>
      <c r="T31" s="56">
        <f t="shared" si="16"/>
        <v>0</v>
      </c>
      <c r="U31" s="183">
        <f t="shared" si="16"/>
        <v>0</v>
      </c>
      <c r="V31" s="56">
        <f t="shared" si="16"/>
        <v>0</v>
      </c>
      <c r="W31" s="183">
        <f t="shared" si="16"/>
        <v>0</v>
      </c>
      <c r="X31" s="56">
        <f t="shared" si="16"/>
        <v>0</v>
      </c>
      <c r="Y31" s="56">
        <f t="shared" ref="Y31:AE31" si="17">SUM(Y30:Y30)</f>
        <v>30</v>
      </c>
      <c r="Z31" s="56">
        <f t="shared" si="17"/>
        <v>0</v>
      </c>
      <c r="AA31" s="56">
        <f t="shared" si="17"/>
        <v>30</v>
      </c>
      <c r="AB31" s="56">
        <f t="shared" si="17"/>
        <v>0</v>
      </c>
      <c r="AC31" s="56">
        <f t="shared" si="17"/>
        <v>0</v>
      </c>
      <c r="AD31" s="56">
        <f t="shared" si="17"/>
        <v>30</v>
      </c>
      <c r="AE31" s="56">
        <f t="shared" si="17"/>
        <v>0</v>
      </c>
    </row>
    <row r="32" spans="1:31" ht="21.75" customHeight="1">
      <c r="A32" s="50" t="s">
        <v>315</v>
      </c>
      <c r="B32" s="51"/>
      <c r="C32" s="52"/>
      <c r="D32" s="51"/>
      <c r="E32" s="51"/>
      <c r="F32" s="51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90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4"/>
    </row>
    <row r="33" spans="1:31" ht="30" customHeight="1">
      <c r="A33" s="165" t="s">
        <v>136</v>
      </c>
      <c r="B33" s="646" t="s">
        <v>118</v>
      </c>
      <c r="C33" s="647"/>
      <c r="D33" s="46"/>
      <c r="E33" s="47">
        <v>7</v>
      </c>
      <c r="F33" s="47"/>
      <c r="G33" s="156">
        <v>15</v>
      </c>
      <c r="H33" s="182">
        <v>10</v>
      </c>
      <c r="I33" s="156"/>
      <c r="J33" s="182"/>
      <c r="K33" s="156"/>
      <c r="L33" s="182"/>
      <c r="M33" s="156"/>
      <c r="N33" s="182"/>
      <c r="O33" s="156">
        <v>1</v>
      </c>
      <c r="P33" s="159"/>
      <c r="Q33" s="185"/>
      <c r="R33" s="159"/>
      <c r="S33" s="185"/>
      <c r="T33" s="159"/>
      <c r="U33" s="185"/>
      <c r="V33" s="159"/>
      <c r="W33" s="185"/>
      <c r="X33" s="159"/>
      <c r="Y33" s="110">
        <f>SUM(Z33:AC33)</f>
        <v>15</v>
      </c>
      <c r="Z33" s="48">
        <f t="shared" ref="Z33:Z38" si="18">SUM(G33,P33)</f>
        <v>15</v>
      </c>
      <c r="AA33" s="48">
        <f t="shared" ref="AA33:AA38" si="19">SUM(I33,R33)</f>
        <v>0</v>
      </c>
      <c r="AB33" s="48">
        <f>SUM(K33,T33)</f>
        <v>0</v>
      </c>
      <c r="AC33" s="48">
        <f>SUM(M33,V33)</f>
        <v>0</v>
      </c>
      <c r="AD33" s="48">
        <f t="shared" ref="AD33:AD38" si="20">SUM(G33:N33,P33:W33)</f>
        <v>25</v>
      </c>
      <c r="AE33" s="48">
        <f t="shared" ref="AE33:AE38" si="21">SUM(O33,X33)</f>
        <v>1</v>
      </c>
    </row>
    <row r="34" spans="1:31" ht="30" customHeight="1">
      <c r="A34" s="165" t="s">
        <v>140</v>
      </c>
      <c r="B34" s="646" t="s">
        <v>118</v>
      </c>
      <c r="C34" s="647"/>
      <c r="D34" s="46"/>
      <c r="E34" s="47">
        <v>7</v>
      </c>
      <c r="F34" s="47"/>
      <c r="G34" s="156">
        <v>15</v>
      </c>
      <c r="H34" s="182">
        <v>10</v>
      </c>
      <c r="I34" s="156"/>
      <c r="J34" s="182"/>
      <c r="K34" s="156"/>
      <c r="L34" s="182"/>
      <c r="M34" s="156"/>
      <c r="N34" s="182"/>
      <c r="O34" s="156">
        <v>1</v>
      </c>
      <c r="P34" s="159"/>
      <c r="Q34" s="185"/>
      <c r="R34" s="159"/>
      <c r="S34" s="185"/>
      <c r="T34" s="159"/>
      <c r="U34" s="185"/>
      <c r="V34" s="159"/>
      <c r="W34" s="185"/>
      <c r="X34" s="159"/>
      <c r="Y34" s="110">
        <f t="shared" ref="Y34:Y38" si="22">SUM(Z34:AC34)</f>
        <v>15</v>
      </c>
      <c r="Z34" s="48">
        <f t="shared" si="18"/>
        <v>15</v>
      </c>
      <c r="AA34" s="48">
        <f t="shared" si="19"/>
        <v>0</v>
      </c>
      <c r="AB34" s="48">
        <f t="shared" ref="AB34:AB38" si="23">SUM(K34,T34)</f>
        <v>0</v>
      </c>
      <c r="AC34" s="48">
        <f t="shared" ref="AC34:AC38" si="24">SUM(M34,V34)</f>
        <v>0</v>
      </c>
      <c r="AD34" s="48">
        <f t="shared" si="20"/>
        <v>25</v>
      </c>
      <c r="AE34" s="48">
        <f t="shared" si="21"/>
        <v>1</v>
      </c>
    </row>
    <row r="35" spans="1:31" ht="30" customHeight="1">
      <c r="A35" s="165" t="s">
        <v>141</v>
      </c>
      <c r="B35" s="646" t="s">
        <v>118</v>
      </c>
      <c r="C35" s="647"/>
      <c r="D35" s="46"/>
      <c r="E35" s="47">
        <v>7</v>
      </c>
      <c r="F35" s="47"/>
      <c r="G35" s="427">
        <v>15</v>
      </c>
      <c r="H35" s="435">
        <v>10</v>
      </c>
      <c r="I35" s="173"/>
      <c r="J35" s="173"/>
      <c r="K35" s="156"/>
      <c r="L35" s="182"/>
      <c r="M35" s="156"/>
      <c r="N35" s="182"/>
      <c r="O35" s="156">
        <v>1</v>
      </c>
      <c r="P35" s="159"/>
      <c r="Q35" s="185"/>
      <c r="R35" s="159"/>
      <c r="S35" s="185"/>
      <c r="T35" s="159"/>
      <c r="U35" s="185"/>
      <c r="V35" s="159"/>
      <c r="W35" s="185"/>
      <c r="X35" s="159"/>
      <c r="Y35" s="110">
        <f t="shared" si="22"/>
        <v>15</v>
      </c>
      <c r="Z35" s="48">
        <f t="shared" si="18"/>
        <v>15</v>
      </c>
      <c r="AA35" s="48">
        <f t="shared" si="19"/>
        <v>0</v>
      </c>
      <c r="AB35" s="48">
        <f t="shared" si="23"/>
        <v>0</v>
      </c>
      <c r="AC35" s="48">
        <f t="shared" si="24"/>
        <v>0</v>
      </c>
      <c r="AD35" s="48">
        <f t="shared" si="20"/>
        <v>25</v>
      </c>
      <c r="AE35" s="48">
        <f t="shared" si="21"/>
        <v>1</v>
      </c>
    </row>
    <row r="36" spans="1:31" ht="30" customHeight="1">
      <c r="A36" s="165" t="s">
        <v>142</v>
      </c>
      <c r="B36" s="646" t="s">
        <v>118</v>
      </c>
      <c r="C36" s="647"/>
      <c r="D36" s="46"/>
      <c r="E36" s="47">
        <v>8</v>
      </c>
      <c r="F36" s="47"/>
      <c r="G36" s="156"/>
      <c r="H36" s="182"/>
      <c r="I36" s="156"/>
      <c r="J36" s="182"/>
      <c r="K36" s="156"/>
      <c r="L36" s="182"/>
      <c r="M36" s="156"/>
      <c r="N36" s="182"/>
      <c r="O36" s="156"/>
      <c r="P36" s="159">
        <v>15</v>
      </c>
      <c r="Q36" s="185">
        <v>10</v>
      </c>
      <c r="R36" s="159"/>
      <c r="S36" s="185"/>
      <c r="T36" s="159"/>
      <c r="U36" s="185"/>
      <c r="V36" s="159"/>
      <c r="W36" s="185"/>
      <c r="X36" s="159">
        <v>1</v>
      </c>
      <c r="Y36" s="110">
        <f t="shared" si="22"/>
        <v>15</v>
      </c>
      <c r="Z36" s="48">
        <f t="shared" si="18"/>
        <v>15</v>
      </c>
      <c r="AA36" s="48">
        <f t="shared" si="19"/>
        <v>0</v>
      </c>
      <c r="AB36" s="48">
        <f t="shared" si="23"/>
        <v>0</v>
      </c>
      <c r="AC36" s="48">
        <f t="shared" si="24"/>
        <v>0</v>
      </c>
      <c r="AD36" s="48">
        <f t="shared" si="20"/>
        <v>25</v>
      </c>
      <c r="AE36" s="48">
        <f t="shared" si="21"/>
        <v>1</v>
      </c>
    </row>
    <row r="37" spans="1:31" ht="30" customHeight="1">
      <c r="A37" s="165" t="s">
        <v>150</v>
      </c>
      <c r="B37" s="646" t="s">
        <v>118</v>
      </c>
      <c r="C37" s="647"/>
      <c r="D37" s="46"/>
      <c r="E37" s="47">
        <v>8</v>
      </c>
      <c r="F37" s="47"/>
      <c r="G37" s="156"/>
      <c r="H37" s="182"/>
      <c r="I37" s="156"/>
      <c r="J37" s="182"/>
      <c r="K37" s="156"/>
      <c r="L37" s="182"/>
      <c r="M37" s="156"/>
      <c r="N37" s="182"/>
      <c r="O37" s="156"/>
      <c r="P37" s="159">
        <v>15</v>
      </c>
      <c r="Q37" s="185">
        <v>10</v>
      </c>
      <c r="R37" s="159"/>
      <c r="S37" s="185"/>
      <c r="T37" s="159"/>
      <c r="U37" s="185"/>
      <c r="V37" s="159"/>
      <c r="W37" s="185"/>
      <c r="X37" s="159">
        <v>1</v>
      </c>
      <c r="Y37" s="110">
        <f t="shared" si="22"/>
        <v>15</v>
      </c>
      <c r="Z37" s="48">
        <f t="shared" si="18"/>
        <v>15</v>
      </c>
      <c r="AA37" s="48">
        <f t="shared" si="19"/>
        <v>0</v>
      </c>
      <c r="AB37" s="48">
        <f t="shared" si="23"/>
        <v>0</v>
      </c>
      <c r="AC37" s="48">
        <f t="shared" si="24"/>
        <v>0</v>
      </c>
      <c r="AD37" s="48">
        <f t="shared" si="20"/>
        <v>25</v>
      </c>
      <c r="AE37" s="48">
        <f t="shared" si="21"/>
        <v>1</v>
      </c>
    </row>
    <row r="38" spans="1:31" ht="30" customHeight="1">
      <c r="A38" s="165" t="s">
        <v>151</v>
      </c>
      <c r="B38" s="646" t="s">
        <v>118</v>
      </c>
      <c r="C38" s="647"/>
      <c r="D38" s="46"/>
      <c r="E38" s="47">
        <v>8</v>
      </c>
      <c r="F38" s="47"/>
      <c r="G38" s="173"/>
      <c r="H38" s="182"/>
      <c r="I38" s="156"/>
      <c r="J38" s="182"/>
      <c r="K38" s="156"/>
      <c r="L38" s="182"/>
      <c r="M38" s="156"/>
      <c r="N38" s="182"/>
      <c r="O38" s="156"/>
      <c r="P38" s="159">
        <v>15</v>
      </c>
      <c r="Q38" s="185">
        <v>10</v>
      </c>
      <c r="R38" s="159"/>
      <c r="S38" s="185"/>
      <c r="T38" s="159"/>
      <c r="U38" s="185"/>
      <c r="V38" s="159"/>
      <c r="W38" s="185"/>
      <c r="X38" s="159">
        <v>1</v>
      </c>
      <c r="Y38" s="110">
        <f t="shared" si="22"/>
        <v>15</v>
      </c>
      <c r="Z38" s="48">
        <f t="shared" si="18"/>
        <v>15</v>
      </c>
      <c r="AA38" s="48">
        <f t="shared" si="19"/>
        <v>0</v>
      </c>
      <c r="AB38" s="48">
        <f t="shared" si="23"/>
        <v>0</v>
      </c>
      <c r="AC38" s="48">
        <f t="shared" si="24"/>
        <v>0</v>
      </c>
      <c r="AD38" s="48">
        <f t="shared" si="20"/>
        <v>25</v>
      </c>
      <c r="AE38" s="48">
        <f t="shared" si="21"/>
        <v>1</v>
      </c>
    </row>
    <row r="39" spans="1:31" ht="28.5" customHeight="1" thickBot="1">
      <c r="A39" s="621" t="s">
        <v>9</v>
      </c>
      <c r="B39" s="622"/>
      <c r="C39" s="623"/>
      <c r="D39" s="49"/>
      <c r="E39" s="101"/>
      <c r="F39" s="101"/>
      <c r="G39" s="56">
        <f t="shared" ref="G39:X39" si="25">SUM(G33:G38)</f>
        <v>45</v>
      </c>
      <c r="H39" s="183">
        <f t="shared" si="25"/>
        <v>30</v>
      </c>
      <c r="I39" s="56">
        <f t="shared" si="25"/>
        <v>0</v>
      </c>
      <c r="J39" s="183">
        <f t="shared" si="25"/>
        <v>0</v>
      </c>
      <c r="K39" s="56">
        <f t="shared" si="25"/>
        <v>0</v>
      </c>
      <c r="L39" s="183">
        <f t="shared" si="25"/>
        <v>0</v>
      </c>
      <c r="M39" s="56">
        <f t="shared" si="25"/>
        <v>0</v>
      </c>
      <c r="N39" s="183">
        <f t="shared" si="25"/>
        <v>0</v>
      </c>
      <c r="O39" s="56">
        <f t="shared" si="25"/>
        <v>3</v>
      </c>
      <c r="P39" s="56">
        <f t="shared" si="25"/>
        <v>45</v>
      </c>
      <c r="Q39" s="183">
        <f t="shared" si="25"/>
        <v>30</v>
      </c>
      <c r="R39" s="56">
        <f>SUM(R33:R38)</f>
        <v>0</v>
      </c>
      <c r="S39" s="183">
        <f t="shared" si="25"/>
        <v>0</v>
      </c>
      <c r="T39" s="56">
        <f t="shared" si="25"/>
        <v>0</v>
      </c>
      <c r="U39" s="183">
        <f t="shared" si="25"/>
        <v>0</v>
      </c>
      <c r="V39" s="56">
        <f t="shared" si="25"/>
        <v>0</v>
      </c>
      <c r="W39" s="183">
        <f t="shared" si="25"/>
        <v>0</v>
      </c>
      <c r="X39" s="56">
        <f t="shared" si="25"/>
        <v>3</v>
      </c>
      <c r="Y39" s="56">
        <f t="shared" ref="Y39:AE39" si="26">SUM(Y33:Y38)</f>
        <v>90</v>
      </c>
      <c r="Z39" s="56">
        <f t="shared" si="26"/>
        <v>90</v>
      </c>
      <c r="AA39" s="56">
        <f t="shared" si="26"/>
        <v>0</v>
      </c>
      <c r="AB39" s="56">
        <f t="shared" si="26"/>
        <v>0</v>
      </c>
      <c r="AC39" s="56">
        <f t="shared" si="26"/>
        <v>0</v>
      </c>
      <c r="AD39" s="56">
        <f t="shared" si="26"/>
        <v>150</v>
      </c>
      <c r="AE39" s="56">
        <f t="shared" si="26"/>
        <v>6</v>
      </c>
    </row>
    <row r="40" spans="1:31" ht="27" customHeight="1" thickBot="1">
      <c r="A40" s="587" t="s">
        <v>21</v>
      </c>
      <c r="B40" s="588"/>
      <c r="C40" s="589"/>
      <c r="D40" s="63"/>
      <c r="E40" s="63"/>
      <c r="F40" s="63"/>
      <c r="G40" s="64">
        <f t="shared" ref="G40:N40" si="27">SUM(G19,G24,G28,G31,G39)</f>
        <v>170</v>
      </c>
      <c r="H40" s="188">
        <f t="shared" si="27"/>
        <v>140</v>
      </c>
      <c r="I40" s="64">
        <f t="shared" si="27"/>
        <v>135</v>
      </c>
      <c r="J40" s="188">
        <f t="shared" si="27"/>
        <v>130</v>
      </c>
      <c r="K40" s="64">
        <f t="shared" si="27"/>
        <v>190</v>
      </c>
      <c r="L40" s="188">
        <f t="shared" si="27"/>
        <v>0</v>
      </c>
      <c r="M40" s="64">
        <f t="shared" si="27"/>
        <v>0</v>
      </c>
      <c r="N40" s="188">
        <f t="shared" si="27"/>
        <v>0</v>
      </c>
      <c r="O40" s="64">
        <f>SUM(O39,O31,O28,O24,O19,)</f>
        <v>30</v>
      </c>
      <c r="P40" s="64">
        <f>SUM(P19,P24,P28,P31,P39)</f>
        <v>170</v>
      </c>
      <c r="Q40" s="188">
        <f>SUM(Q19,Q24,Q28,Q31,Q39)</f>
        <v>135</v>
      </c>
      <c r="R40" s="64">
        <f t="shared" ref="R40:AC40" si="28">SUM(R19,R24,R28,R31,R39)</f>
        <v>275</v>
      </c>
      <c r="S40" s="188">
        <f t="shared" si="28"/>
        <v>95</v>
      </c>
      <c r="T40" s="64">
        <f t="shared" si="28"/>
        <v>110</v>
      </c>
      <c r="U40" s="188">
        <f t="shared" si="28"/>
        <v>0</v>
      </c>
      <c r="V40" s="64">
        <f t="shared" si="28"/>
        <v>0</v>
      </c>
      <c r="W40" s="188">
        <f t="shared" si="28"/>
        <v>0</v>
      </c>
      <c r="X40" s="64">
        <f>SUM(X39,X31,X28,X24,X19,)</f>
        <v>30</v>
      </c>
      <c r="Y40" s="64">
        <f>SUM(Y39,Y31,Y28,Y24,Y19,)</f>
        <v>1050</v>
      </c>
      <c r="Z40" s="64">
        <f>SUM(Z39,Z31,Z28,Z24,Z19,)</f>
        <v>340</v>
      </c>
      <c r="AA40" s="64">
        <f>SUM(AA39,AA31,AA28,AA24,AA19,)</f>
        <v>410</v>
      </c>
      <c r="AB40" s="64">
        <f>SUM(AB39,AB31,AB28,AB24,AB19,)</f>
        <v>300</v>
      </c>
      <c r="AC40" s="64">
        <f t="shared" si="28"/>
        <v>0</v>
      </c>
      <c r="AD40" s="64">
        <f>SUM(AD39,AD31,AD28,AD24,AD19,)</f>
        <v>1550</v>
      </c>
      <c r="AE40" s="64">
        <f>SUM(AE39,AE31,AE28,AE24,AE19,)</f>
        <v>60</v>
      </c>
    </row>
    <row r="41" spans="1:31">
      <c r="A41" s="7"/>
      <c r="B41" s="19"/>
      <c r="C41" s="3"/>
    </row>
    <row r="42" spans="1:31" s="1" customFormat="1" ht="18">
      <c r="A42" s="639" t="s">
        <v>350</v>
      </c>
      <c r="B42" s="639"/>
      <c r="C42" s="639"/>
      <c r="D42" s="639"/>
      <c r="E42" s="639"/>
      <c r="F42" s="639"/>
      <c r="G42" s="639"/>
      <c r="H42" s="639"/>
      <c r="I42" s="639"/>
      <c r="J42" s="639"/>
      <c r="K42" s="639"/>
      <c r="L42" s="639"/>
      <c r="M42" s="639"/>
      <c r="N42" s="639"/>
      <c r="O42" s="639"/>
      <c r="P42" s="639"/>
      <c r="Q42" s="639"/>
      <c r="R42" s="639"/>
      <c r="S42" s="639"/>
      <c r="T42" s="639"/>
      <c r="U42" s="639"/>
      <c r="V42" s="639"/>
      <c r="W42" s="639"/>
      <c r="X42" s="639"/>
      <c r="Y42" s="639"/>
      <c r="Z42" s="639"/>
      <c r="AA42" s="639"/>
      <c r="AB42" s="639"/>
      <c r="AC42" s="639"/>
      <c r="AD42" s="639"/>
      <c r="AE42" s="639"/>
    </row>
    <row r="43" spans="1:31" ht="30.75" customHeight="1">
      <c r="A43" s="165" t="s">
        <v>193</v>
      </c>
      <c r="B43" s="175" t="s">
        <v>160</v>
      </c>
      <c r="C43" s="45" t="str">
        <f>"0912-7LEK-F"&amp;A43&amp;"-"&amp;UPPER(LEFT(B43,1))</f>
        <v>0912-7LEK-F23-D</v>
      </c>
      <c r="D43" s="123"/>
      <c r="E43" s="125">
        <v>7</v>
      </c>
      <c r="F43" s="125"/>
      <c r="G43" s="156">
        <v>15</v>
      </c>
      <c r="H43" s="182">
        <v>10</v>
      </c>
      <c r="I43" s="156"/>
      <c r="J43" s="182"/>
      <c r="K43" s="156"/>
      <c r="L43" s="156"/>
      <c r="M43" s="156"/>
      <c r="N43" s="156"/>
      <c r="O43" s="156">
        <v>1</v>
      </c>
      <c r="P43" s="159"/>
      <c r="Q43" s="185"/>
      <c r="R43" s="159"/>
      <c r="S43" s="185"/>
      <c r="T43" s="159"/>
      <c r="U43" s="159"/>
      <c r="V43" s="159"/>
      <c r="W43" s="159"/>
      <c r="X43" s="159"/>
      <c r="Y43" s="110">
        <f>SUM(G43,I43,K43,M43,P43,R43,T43,V43)</f>
        <v>15</v>
      </c>
      <c r="Z43" s="48">
        <f>SUM(G43,P43)</f>
        <v>15</v>
      </c>
      <c r="AA43" s="48">
        <f>SUM(I43,R43)</f>
        <v>0</v>
      </c>
      <c r="AB43" s="48">
        <f>SUM(J43,S43)</f>
        <v>0</v>
      </c>
      <c r="AC43" s="48">
        <f>SUM(N43,W43)</f>
        <v>0</v>
      </c>
      <c r="AD43" s="48">
        <f>SUM(G43:N43,P43:W43)</f>
        <v>25</v>
      </c>
      <c r="AE43" s="48">
        <f>SUM(O43,X43)</f>
        <v>1</v>
      </c>
    </row>
    <row r="44" spans="1:31" ht="25.5" customHeight="1">
      <c r="A44" s="165" t="s">
        <v>194</v>
      </c>
      <c r="B44" s="175" t="s">
        <v>158</v>
      </c>
      <c r="C44" s="45" t="str">
        <f>"0912-7LEK-F"&amp;A44&amp;"-"&amp;UPPER(LEFT(B44,1))</f>
        <v>0912-7LEK-F24-F</v>
      </c>
      <c r="D44" s="123"/>
      <c r="E44" s="125">
        <v>7</v>
      </c>
      <c r="F44" s="125"/>
      <c r="G44" s="156">
        <v>15</v>
      </c>
      <c r="H44" s="182">
        <v>10</v>
      </c>
      <c r="I44" s="156"/>
      <c r="J44" s="182"/>
      <c r="K44" s="156"/>
      <c r="L44" s="156"/>
      <c r="M44" s="156"/>
      <c r="N44" s="156"/>
      <c r="O44" s="156">
        <v>1</v>
      </c>
      <c r="P44" s="159"/>
      <c r="Q44" s="185"/>
      <c r="R44" s="159"/>
      <c r="S44" s="185"/>
      <c r="T44" s="159"/>
      <c r="U44" s="159"/>
      <c r="V44" s="159"/>
      <c r="W44" s="159"/>
      <c r="X44" s="159"/>
      <c r="Y44" s="110">
        <f t="shared" ref="Y44:Y51" si="29">SUM(G44,I44,K44,M44,P44,R44,T44,V44)</f>
        <v>15</v>
      </c>
      <c r="Z44" s="48">
        <f t="shared" ref="Z44:Z51" si="30">SUM(G44,P44)</f>
        <v>15</v>
      </c>
      <c r="AA44" s="48">
        <f t="shared" ref="AA44:AA51" si="31">SUM(I44,R44)</f>
        <v>0</v>
      </c>
      <c r="AB44" s="48">
        <f t="shared" ref="AB44:AB51" si="32">SUM(J44,S44)</f>
        <v>0</v>
      </c>
      <c r="AC44" s="48">
        <f t="shared" ref="AC44:AC51" si="33">SUM(N44,W44)</f>
        <v>0</v>
      </c>
      <c r="AD44" s="48">
        <f t="shared" ref="AD44:AD51" si="34">SUM(G44:N44,P44:W44)</f>
        <v>25</v>
      </c>
      <c r="AE44" s="48">
        <f t="shared" ref="AE44:AE51" si="35">SUM(O44,X44)</f>
        <v>1</v>
      </c>
    </row>
    <row r="45" spans="1:31" ht="25.5" customHeight="1">
      <c r="A45" s="165" t="s">
        <v>195</v>
      </c>
      <c r="B45" s="175" t="s">
        <v>362</v>
      </c>
      <c r="C45" s="45" t="s">
        <v>363</v>
      </c>
      <c r="D45" s="486"/>
      <c r="E45" s="487">
        <v>7</v>
      </c>
      <c r="F45" s="487"/>
      <c r="G45" s="156">
        <v>15</v>
      </c>
      <c r="H45" s="182">
        <v>10</v>
      </c>
      <c r="I45" s="156"/>
      <c r="J45" s="182"/>
      <c r="K45" s="156"/>
      <c r="L45" s="156"/>
      <c r="M45" s="156"/>
      <c r="N45" s="156"/>
      <c r="O45" s="156">
        <v>1</v>
      </c>
      <c r="P45" s="159"/>
      <c r="Q45" s="185"/>
      <c r="R45" s="159"/>
      <c r="S45" s="185"/>
      <c r="T45" s="159"/>
      <c r="U45" s="159"/>
      <c r="V45" s="159"/>
      <c r="W45" s="159"/>
      <c r="X45" s="159"/>
      <c r="Y45" s="110">
        <v>15</v>
      </c>
      <c r="Z45" s="48">
        <v>15</v>
      </c>
      <c r="AA45" s="48">
        <v>0</v>
      </c>
      <c r="AB45" s="48">
        <v>0</v>
      </c>
      <c r="AC45" s="48">
        <v>0</v>
      </c>
      <c r="AD45" s="48">
        <v>25</v>
      </c>
      <c r="AE45" s="48">
        <v>1</v>
      </c>
    </row>
    <row r="46" spans="1:31" ht="30.75" customHeight="1">
      <c r="A46" s="165" t="s">
        <v>209</v>
      </c>
      <c r="B46" s="175" t="s">
        <v>159</v>
      </c>
      <c r="C46" s="45" t="str">
        <f t="shared" ref="C46:C51" si="36">"0912-7LEK-F"&amp;A46&amp;"-"&amp;UPPER(LEFT(B46,1))</f>
        <v>0912-7LEK-F26-Z</v>
      </c>
      <c r="D46" s="123"/>
      <c r="E46" s="125">
        <v>7</v>
      </c>
      <c r="F46" s="125"/>
      <c r="G46" s="156">
        <v>15</v>
      </c>
      <c r="H46" s="182">
        <v>10</v>
      </c>
      <c r="I46" s="173"/>
      <c r="J46" s="173"/>
      <c r="K46" s="156"/>
      <c r="L46" s="156"/>
      <c r="M46" s="156"/>
      <c r="N46" s="156"/>
      <c r="O46" s="156">
        <v>1</v>
      </c>
      <c r="P46" s="159"/>
      <c r="Q46" s="185"/>
      <c r="R46" s="159"/>
      <c r="S46" s="185"/>
      <c r="T46" s="159"/>
      <c r="U46" s="159"/>
      <c r="V46" s="159"/>
      <c r="W46" s="159"/>
      <c r="X46" s="159"/>
      <c r="Y46" s="110">
        <f t="shared" si="29"/>
        <v>15</v>
      </c>
      <c r="Z46" s="48">
        <f t="shared" si="30"/>
        <v>15</v>
      </c>
      <c r="AA46" s="48">
        <f t="shared" si="31"/>
        <v>0</v>
      </c>
      <c r="AB46" s="48">
        <f t="shared" si="32"/>
        <v>0</v>
      </c>
      <c r="AC46" s="48">
        <f t="shared" si="33"/>
        <v>0</v>
      </c>
      <c r="AD46" s="48">
        <f t="shared" si="34"/>
        <v>25</v>
      </c>
      <c r="AE46" s="48">
        <f t="shared" si="35"/>
        <v>1</v>
      </c>
    </row>
    <row r="47" spans="1:31" ht="30.75" customHeight="1">
      <c r="A47" s="165" t="s">
        <v>210</v>
      </c>
      <c r="B47" s="175" t="s">
        <v>154</v>
      </c>
      <c r="C47" s="45" t="str">
        <f>"0912-7LEK-F"&amp;A47&amp;"-"&amp;UPPER(LEFT(B47,1))</f>
        <v>0912-7LEK-F27-C</v>
      </c>
      <c r="D47" s="123"/>
      <c r="E47" s="125">
        <v>8</v>
      </c>
      <c r="F47" s="125"/>
      <c r="G47" s="173"/>
      <c r="H47" s="173"/>
      <c r="I47" s="156"/>
      <c r="J47" s="182"/>
      <c r="K47" s="156"/>
      <c r="L47" s="156"/>
      <c r="M47" s="156"/>
      <c r="N47" s="156"/>
      <c r="O47" s="156"/>
      <c r="P47" s="159">
        <v>15</v>
      </c>
      <c r="Q47" s="185">
        <v>10</v>
      </c>
      <c r="R47" s="159"/>
      <c r="S47" s="185"/>
      <c r="T47" s="159"/>
      <c r="U47" s="159"/>
      <c r="V47" s="159"/>
      <c r="W47" s="159"/>
      <c r="X47" s="159"/>
      <c r="Y47" s="110">
        <f t="shared" si="29"/>
        <v>15</v>
      </c>
      <c r="Z47" s="48">
        <f t="shared" si="30"/>
        <v>15</v>
      </c>
      <c r="AA47" s="48">
        <f t="shared" si="31"/>
        <v>0</v>
      </c>
      <c r="AB47" s="48">
        <f t="shared" si="32"/>
        <v>0</v>
      </c>
      <c r="AC47" s="48">
        <f t="shared" si="33"/>
        <v>0</v>
      </c>
      <c r="AD47" s="48">
        <f t="shared" si="34"/>
        <v>25</v>
      </c>
      <c r="AE47" s="48">
        <f t="shared" si="35"/>
        <v>0</v>
      </c>
    </row>
    <row r="48" spans="1:31" ht="30.75" customHeight="1">
      <c r="A48" s="165" t="s">
        <v>211</v>
      </c>
      <c r="B48" s="175" t="s">
        <v>155</v>
      </c>
      <c r="C48" s="45" t="str">
        <f>"0912-7LEK-F"&amp;A48&amp;"-"&amp;UPPER(LEFT(B48,1))</f>
        <v>0912-7LEK-F28-P</v>
      </c>
      <c r="D48" s="123"/>
      <c r="E48" s="125">
        <v>8</v>
      </c>
      <c r="F48" s="125"/>
      <c r="G48" s="156"/>
      <c r="H48" s="182"/>
      <c r="I48" s="156"/>
      <c r="J48" s="182"/>
      <c r="K48" s="156"/>
      <c r="L48" s="156"/>
      <c r="M48" s="156"/>
      <c r="N48" s="156"/>
      <c r="O48" s="156"/>
      <c r="P48" s="159">
        <v>15</v>
      </c>
      <c r="Q48" s="185">
        <v>10</v>
      </c>
      <c r="R48" s="159"/>
      <c r="S48" s="185"/>
      <c r="T48" s="159"/>
      <c r="U48" s="159"/>
      <c r="V48" s="159"/>
      <c r="W48" s="159"/>
      <c r="X48" s="159">
        <v>1</v>
      </c>
      <c r="Y48" s="110">
        <f t="shared" si="29"/>
        <v>15</v>
      </c>
      <c r="Z48" s="48">
        <f t="shared" si="30"/>
        <v>15</v>
      </c>
      <c r="AA48" s="48">
        <f t="shared" si="31"/>
        <v>0</v>
      </c>
      <c r="AB48" s="48">
        <f t="shared" si="32"/>
        <v>0</v>
      </c>
      <c r="AC48" s="48">
        <f t="shared" si="33"/>
        <v>0</v>
      </c>
      <c r="AD48" s="48">
        <f t="shared" si="34"/>
        <v>25</v>
      </c>
      <c r="AE48" s="48">
        <f t="shared" si="35"/>
        <v>1</v>
      </c>
    </row>
    <row r="49" spans="1:31" ht="30.75" customHeight="1">
      <c r="A49" s="165" t="s">
        <v>212</v>
      </c>
      <c r="B49" s="175" t="s">
        <v>156</v>
      </c>
      <c r="C49" s="45" t="str">
        <f>"0912-7LEK-F"&amp;A49&amp;"-"&amp;UPPER(LEFT(B49,1))</f>
        <v>0912-7LEK-F29-T</v>
      </c>
      <c r="D49" s="123"/>
      <c r="E49" s="125">
        <v>8</v>
      </c>
      <c r="F49" s="125"/>
      <c r="G49" s="156"/>
      <c r="H49" s="182"/>
      <c r="I49" s="156"/>
      <c r="J49" s="182"/>
      <c r="K49" s="156"/>
      <c r="L49" s="156"/>
      <c r="M49" s="156"/>
      <c r="N49" s="156"/>
      <c r="O49" s="156"/>
      <c r="P49" s="159">
        <v>15</v>
      </c>
      <c r="Q49" s="185">
        <v>10</v>
      </c>
      <c r="R49" s="159"/>
      <c r="S49" s="185"/>
      <c r="T49" s="159"/>
      <c r="U49" s="159"/>
      <c r="V49" s="159"/>
      <c r="W49" s="159"/>
      <c r="X49" s="159">
        <v>1</v>
      </c>
      <c r="Y49" s="110">
        <f t="shared" si="29"/>
        <v>15</v>
      </c>
      <c r="Z49" s="48">
        <f t="shared" si="30"/>
        <v>15</v>
      </c>
      <c r="AA49" s="48">
        <f t="shared" si="31"/>
        <v>0</v>
      </c>
      <c r="AB49" s="48">
        <f t="shared" si="32"/>
        <v>0</v>
      </c>
      <c r="AC49" s="48">
        <f t="shared" si="33"/>
        <v>0</v>
      </c>
      <c r="AD49" s="48">
        <f t="shared" si="34"/>
        <v>25</v>
      </c>
      <c r="AE49" s="48">
        <f t="shared" si="35"/>
        <v>1</v>
      </c>
    </row>
    <row r="50" spans="1:31" ht="30.75" customHeight="1">
      <c r="A50" s="165" t="s">
        <v>254</v>
      </c>
      <c r="B50" s="175" t="s">
        <v>161</v>
      </c>
      <c r="C50" s="45" t="str">
        <f>"0912-7LEK-F"&amp;A50&amp;"-"&amp;UPPER(LEFT(B50,1))</f>
        <v>0912-7LEK-F30-C</v>
      </c>
      <c r="D50" s="123"/>
      <c r="E50" s="125">
        <v>8</v>
      </c>
      <c r="F50" s="125"/>
      <c r="G50" s="173"/>
      <c r="H50" s="182"/>
      <c r="I50" s="156"/>
      <c r="J50" s="182"/>
      <c r="K50" s="156"/>
      <c r="L50" s="156"/>
      <c r="M50" s="156"/>
      <c r="N50" s="156"/>
      <c r="O50" s="156"/>
      <c r="P50" s="159">
        <v>15</v>
      </c>
      <c r="Q50" s="185">
        <v>10</v>
      </c>
      <c r="R50" s="159"/>
      <c r="S50" s="185"/>
      <c r="T50" s="159"/>
      <c r="U50" s="159"/>
      <c r="V50" s="159"/>
      <c r="W50" s="159"/>
      <c r="X50" s="159">
        <v>1</v>
      </c>
      <c r="Y50" s="110">
        <f t="shared" si="29"/>
        <v>15</v>
      </c>
      <c r="Z50" s="48">
        <f t="shared" si="30"/>
        <v>15</v>
      </c>
      <c r="AA50" s="48">
        <f t="shared" si="31"/>
        <v>0</v>
      </c>
      <c r="AB50" s="48">
        <f t="shared" si="32"/>
        <v>0</v>
      </c>
      <c r="AC50" s="48">
        <f t="shared" si="33"/>
        <v>0</v>
      </c>
      <c r="AD50" s="48">
        <f t="shared" si="34"/>
        <v>25</v>
      </c>
      <c r="AE50" s="48">
        <f t="shared" si="35"/>
        <v>1</v>
      </c>
    </row>
    <row r="51" spans="1:31" ht="33" customHeight="1">
      <c r="A51" s="165" t="s">
        <v>213</v>
      </c>
      <c r="B51" s="175" t="s">
        <v>157</v>
      </c>
      <c r="C51" s="45" t="str">
        <f t="shared" si="36"/>
        <v>0912-7LEK-F31-C</v>
      </c>
      <c r="D51" s="123"/>
      <c r="E51" s="125">
        <v>8</v>
      </c>
      <c r="F51" s="125"/>
      <c r="G51" s="156"/>
      <c r="H51" s="182"/>
      <c r="I51" s="156"/>
      <c r="J51" s="182"/>
      <c r="K51" s="156"/>
      <c r="L51" s="156"/>
      <c r="M51" s="156"/>
      <c r="N51" s="156"/>
      <c r="O51" s="156"/>
      <c r="P51" s="159">
        <v>15</v>
      </c>
      <c r="Q51" s="185">
        <v>10</v>
      </c>
      <c r="R51" s="159"/>
      <c r="S51" s="185"/>
      <c r="T51" s="159"/>
      <c r="U51" s="159"/>
      <c r="V51" s="159"/>
      <c r="W51" s="159"/>
      <c r="X51" s="159">
        <v>1</v>
      </c>
      <c r="Y51" s="110">
        <f t="shared" si="29"/>
        <v>15</v>
      </c>
      <c r="Z51" s="48">
        <f t="shared" si="30"/>
        <v>15</v>
      </c>
      <c r="AA51" s="48">
        <f t="shared" si="31"/>
        <v>0</v>
      </c>
      <c r="AB51" s="48">
        <f t="shared" si="32"/>
        <v>0</v>
      </c>
      <c r="AC51" s="48">
        <f t="shared" si="33"/>
        <v>0</v>
      </c>
      <c r="AD51" s="48">
        <f t="shared" si="34"/>
        <v>25</v>
      </c>
      <c r="AE51" s="48">
        <f t="shared" si="35"/>
        <v>1</v>
      </c>
    </row>
    <row r="52" spans="1:31" ht="30.75" customHeight="1">
      <c r="A52" s="10"/>
      <c r="B52" s="10"/>
      <c r="C52" s="16"/>
      <c r="D52" s="12"/>
      <c r="E52" s="12"/>
      <c r="F52" s="12"/>
      <c r="H52" s="13"/>
      <c r="I52" s="30"/>
      <c r="J52" s="31"/>
      <c r="K52" s="31"/>
      <c r="L52" s="31"/>
      <c r="M52" s="31"/>
      <c r="N52" s="31"/>
      <c r="O52" s="31"/>
      <c r="P52" s="13"/>
      <c r="Q52" s="13"/>
      <c r="R52" s="13"/>
      <c r="S52" s="13"/>
      <c r="T52" s="13"/>
      <c r="U52" s="13"/>
      <c r="V52" s="13"/>
      <c r="W52" s="13"/>
      <c r="X52" s="13"/>
    </row>
    <row r="53" spans="1:31" ht="21">
      <c r="A53" s="10"/>
      <c r="B53" s="10"/>
      <c r="C53" s="16"/>
      <c r="D53" s="12"/>
      <c r="E53" s="12"/>
      <c r="F53" s="12"/>
      <c r="H53" s="13"/>
      <c r="I53" s="30"/>
      <c r="J53" s="31"/>
      <c r="K53" s="31"/>
      <c r="L53" s="31"/>
      <c r="M53" s="31"/>
      <c r="N53" s="31"/>
      <c r="O53" s="31"/>
      <c r="P53" s="13"/>
      <c r="Q53" s="13"/>
      <c r="R53" s="13"/>
      <c r="S53" s="13"/>
      <c r="T53" s="13"/>
      <c r="U53" s="13"/>
      <c r="V53" s="13"/>
      <c r="W53" s="13"/>
      <c r="X53" s="13"/>
    </row>
    <row r="54" spans="1:31" ht="21">
      <c r="A54" s="10"/>
      <c r="B54" s="10"/>
      <c r="C54" s="16"/>
      <c r="D54" s="12"/>
      <c r="E54" s="12"/>
      <c r="F54" s="12"/>
      <c r="H54" s="13"/>
      <c r="I54" s="30"/>
      <c r="J54" s="31"/>
      <c r="K54" s="31"/>
      <c r="L54" s="20" t="s">
        <v>126</v>
      </c>
      <c r="M54" s="31"/>
      <c r="N54" s="31"/>
      <c r="O54" s="31"/>
      <c r="P54" s="13"/>
      <c r="Q54" s="13"/>
      <c r="R54" s="13"/>
      <c r="S54" s="13"/>
      <c r="T54" s="13"/>
      <c r="U54" s="13"/>
      <c r="V54" s="13"/>
      <c r="W54" s="13"/>
      <c r="X54" s="13"/>
    </row>
    <row r="55" spans="1:31" ht="21">
      <c r="A55" s="10"/>
      <c r="B55" s="10"/>
      <c r="C55" s="16"/>
      <c r="D55" s="12"/>
      <c r="E55" s="12"/>
      <c r="F55" s="12"/>
      <c r="H55" s="13"/>
      <c r="I55" s="30"/>
      <c r="J55" s="31"/>
      <c r="K55" s="31"/>
      <c r="L55" s="31"/>
      <c r="M55" s="31"/>
      <c r="N55" s="31"/>
      <c r="O55" s="31"/>
      <c r="P55" s="13"/>
      <c r="Q55" s="13"/>
      <c r="R55" s="13"/>
      <c r="S55" s="13"/>
      <c r="T55" s="13"/>
      <c r="U55" s="13"/>
      <c r="V55" s="13"/>
      <c r="W55" s="13"/>
      <c r="X55" s="13"/>
    </row>
    <row r="56" spans="1:31" ht="21">
      <c r="A56" s="7"/>
      <c r="B56" s="18"/>
      <c r="C56" s="11"/>
      <c r="D56" s="12"/>
      <c r="E56" s="12"/>
      <c r="F56" s="12"/>
      <c r="H56" s="13"/>
      <c r="I56" s="30"/>
      <c r="J56" s="31"/>
      <c r="K56" s="31"/>
      <c r="L56" s="31"/>
      <c r="M56" s="31"/>
      <c r="N56" s="31"/>
      <c r="O56" s="31"/>
      <c r="P56" s="13"/>
      <c r="Q56" s="13"/>
      <c r="R56" s="13"/>
      <c r="S56" s="13"/>
      <c r="T56" s="13"/>
      <c r="U56" s="13"/>
      <c r="V56" s="13"/>
      <c r="W56" s="13"/>
      <c r="X56" s="13"/>
    </row>
    <row r="57" spans="1:31" ht="21">
      <c r="A57" s="5"/>
      <c r="B57" s="23"/>
      <c r="C57" s="24"/>
      <c r="D57" s="25"/>
      <c r="E57" s="25"/>
      <c r="F57" s="25"/>
      <c r="H57" s="13"/>
      <c r="I57" s="30"/>
      <c r="J57" s="31"/>
      <c r="K57" s="31"/>
      <c r="L57" s="31"/>
      <c r="M57" s="31"/>
      <c r="N57" s="31"/>
      <c r="O57" s="31"/>
      <c r="P57" s="13"/>
      <c r="Q57" s="13"/>
      <c r="R57" s="13"/>
      <c r="S57" s="13"/>
      <c r="T57" s="13"/>
      <c r="U57" s="13"/>
      <c r="V57" s="13"/>
      <c r="W57" s="13"/>
      <c r="X57" s="13"/>
    </row>
    <row r="58" spans="1:31" ht="21">
      <c r="A58" s="4"/>
      <c r="B58" s="26"/>
      <c r="C58" s="27"/>
      <c r="D58" s="25"/>
      <c r="E58" s="25"/>
      <c r="F58" s="25"/>
      <c r="G58" s="36"/>
      <c r="H58" s="13"/>
      <c r="I58" s="30"/>
      <c r="J58" s="31"/>
      <c r="K58" s="31"/>
      <c r="L58" s="31"/>
      <c r="M58" s="31"/>
      <c r="N58" s="31"/>
      <c r="O58" s="31"/>
      <c r="P58" s="13"/>
      <c r="Q58" s="13"/>
      <c r="R58" s="13"/>
      <c r="S58" s="13"/>
      <c r="T58" s="13"/>
      <c r="U58" s="13"/>
      <c r="V58" s="13"/>
      <c r="W58" s="13"/>
      <c r="X58" s="13"/>
      <c r="Y58" s="1"/>
      <c r="Z58" s="1"/>
      <c r="AA58" s="1"/>
      <c r="AB58" s="1"/>
      <c r="AC58" s="1"/>
      <c r="AD58" s="1"/>
      <c r="AE58" s="1"/>
    </row>
    <row r="59" spans="1:31" ht="21">
      <c r="A59" s="2"/>
      <c r="B59" s="23"/>
      <c r="C59" s="24"/>
      <c r="D59" s="25"/>
      <c r="E59" s="25"/>
      <c r="F59" s="28"/>
      <c r="G59" s="36"/>
      <c r="H59" s="13"/>
      <c r="I59" s="30"/>
      <c r="J59" s="31"/>
      <c r="K59" s="31"/>
      <c r="L59" s="31"/>
      <c r="M59" s="31"/>
      <c r="N59" s="31"/>
      <c r="O59" s="31"/>
      <c r="P59" s="13"/>
      <c r="Q59" s="13"/>
      <c r="R59" s="13"/>
      <c r="S59" s="13"/>
      <c r="T59" s="13"/>
      <c r="U59" s="13"/>
      <c r="V59" s="13"/>
      <c r="W59" s="13"/>
      <c r="X59" s="13"/>
    </row>
    <row r="60" spans="1:31" ht="21">
      <c r="A60" s="3"/>
      <c r="B60" s="23"/>
      <c r="C60" s="24"/>
      <c r="D60" s="25"/>
      <c r="E60" s="25"/>
      <c r="F60" s="25"/>
      <c r="H60" s="13"/>
      <c r="I60" s="30"/>
      <c r="J60" s="31"/>
      <c r="K60" s="31"/>
      <c r="L60" s="31"/>
      <c r="M60" s="31"/>
      <c r="N60" s="31"/>
      <c r="O60" s="31"/>
      <c r="P60" s="13"/>
      <c r="Q60" s="13"/>
      <c r="R60" s="13"/>
      <c r="S60" s="13"/>
      <c r="T60" s="13"/>
      <c r="U60" s="13"/>
      <c r="V60" s="13"/>
      <c r="W60" s="13"/>
      <c r="X60" s="13"/>
    </row>
    <row r="61" spans="1:31" ht="21">
      <c r="A61" s="3"/>
      <c r="B61" s="23"/>
      <c r="C61" s="24"/>
      <c r="D61" s="25"/>
      <c r="E61" s="25"/>
      <c r="F61" s="25"/>
      <c r="G61" s="14"/>
      <c r="H61" s="13"/>
      <c r="I61" s="30"/>
      <c r="J61" s="31"/>
      <c r="K61" s="31"/>
      <c r="L61" s="31"/>
      <c r="M61" s="31"/>
      <c r="N61" s="31"/>
      <c r="O61" s="31"/>
      <c r="P61" s="13"/>
      <c r="Q61" s="13"/>
      <c r="R61" s="13"/>
      <c r="S61" s="13"/>
      <c r="T61" s="13"/>
      <c r="U61" s="13"/>
      <c r="V61" s="13"/>
      <c r="W61" s="13"/>
      <c r="X61" s="13"/>
    </row>
    <row r="62" spans="1:31" ht="21">
      <c r="A62" s="3"/>
      <c r="B62" s="23"/>
      <c r="C62" s="24"/>
      <c r="D62" s="28"/>
      <c r="E62" s="28"/>
      <c r="F62" s="25"/>
      <c r="G62" s="13"/>
      <c r="H62" s="13"/>
      <c r="I62" s="30"/>
      <c r="J62" s="31"/>
      <c r="K62" s="31"/>
      <c r="L62" s="31"/>
      <c r="M62" s="31"/>
      <c r="N62" s="31"/>
      <c r="O62" s="31"/>
      <c r="P62" s="13"/>
      <c r="Q62" s="13"/>
      <c r="R62" s="13"/>
      <c r="S62" s="13"/>
      <c r="T62" s="13"/>
      <c r="U62" s="13"/>
      <c r="V62" s="13"/>
      <c r="W62" s="13"/>
      <c r="X62" s="13"/>
    </row>
    <row r="63" spans="1:31" ht="21">
      <c r="A63" s="3"/>
      <c r="B63" s="23"/>
      <c r="C63" s="24"/>
      <c r="D63" s="25"/>
      <c r="E63" s="25"/>
      <c r="F63" s="25"/>
      <c r="G63" s="13"/>
      <c r="H63" s="13"/>
      <c r="I63" s="30"/>
      <c r="J63" s="31"/>
      <c r="K63" s="31"/>
      <c r="L63" s="31"/>
      <c r="M63" s="31"/>
      <c r="N63" s="31"/>
      <c r="O63" s="31"/>
      <c r="P63" s="13"/>
      <c r="Q63" s="13"/>
      <c r="R63" s="13"/>
      <c r="S63" s="13"/>
      <c r="T63" s="13"/>
      <c r="U63" s="13"/>
      <c r="V63" s="13"/>
      <c r="W63" s="13"/>
      <c r="X63" s="13"/>
    </row>
    <row r="64" spans="1:31" ht="21">
      <c r="A64" s="7"/>
      <c r="B64" s="20"/>
      <c r="C64" s="21"/>
      <c r="D64" s="22"/>
      <c r="E64" s="22"/>
      <c r="F64" s="22"/>
      <c r="G64" s="13"/>
      <c r="H64" s="13"/>
      <c r="I64" s="30"/>
      <c r="J64" s="31"/>
      <c r="K64" s="31"/>
      <c r="L64" s="31"/>
      <c r="M64" s="31"/>
      <c r="N64" s="31"/>
      <c r="O64" s="31"/>
      <c r="P64" s="13"/>
      <c r="Q64" s="13"/>
      <c r="R64" s="13"/>
      <c r="S64" s="13"/>
      <c r="T64" s="13"/>
      <c r="U64" s="13"/>
      <c r="V64" s="13"/>
      <c r="W64" s="13"/>
      <c r="X64" s="13"/>
    </row>
    <row r="65" spans="1:24" ht="21">
      <c r="A65" s="8"/>
      <c r="B65" s="18"/>
      <c r="C65" s="11"/>
      <c r="D65" s="13"/>
      <c r="E65" s="13"/>
      <c r="F65" s="13"/>
      <c r="G65" s="13"/>
      <c r="H65" s="13"/>
      <c r="I65" s="30"/>
      <c r="J65" s="31"/>
      <c r="K65" s="31"/>
      <c r="L65" s="31"/>
      <c r="M65" s="31"/>
      <c r="N65" s="31"/>
      <c r="O65" s="31"/>
      <c r="P65" s="13"/>
      <c r="Q65" s="13"/>
      <c r="R65" s="13"/>
      <c r="S65" s="13"/>
      <c r="T65" s="13"/>
      <c r="U65" s="13"/>
      <c r="V65" s="13"/>
      <c r="W65" s="13"/>
      <c r="X65" s="13"/>
    </row>
  </sheetData>
  <mergeCells count="46">
    <mergeCell ref="A2:B2"/>
    <mergeCell ref="H2:P2"/>
    <mergeCell ref="A3:B3"/>
    <mergeCell ref="B38:C38"/>
    <mergeCell ref="B37:C37"/>
    <mergeCell ref="B36:C36"/>
    <mergeCell ref="B35:C35"/>
    <mergeCell ref="B34:C34"/>
    <mergeCell ref="B33:C33"/>
    <mergeCell ref="A19:C19"/>
    <mergeCell ref="A24:C24"/>
    <mergeCell ref="A28:C28"/>
    <mergeCell ref="A31:C31"/>
    <mergeCell ref="P8:Q8"/>
    <mergeCell ref="A1:AE1"/>
    <mergeCell ref="D8:D9"/>
    <mergeCell ref="E8:E9"/>
    <mergeCell ref="F8:F9"/>
    <mergeCell ref="Z6:Z9"/>
    <mergeCell ref="AA6:AA9"/>
    <mergeCell ref="AB6:AB9"/>
    <mergeCell ref="AC6:AC9"/>
    <mergeCell ref="X8:X9"/>
    <mergeCell ref="R8:S8"/>
    <mergeCell ref="G8:H8"/>
    <mergeCell ref="V8:W8"/>
    <mergeCell ref="I8:J8"/>
    <mergeCell ref="K8:L8"/>
    <mergeCell ref="M8:N8"/>
    <mergeCell ref="T8:U8"/>
    <mergeCell ref="A42:AE42"/>
    <mergeCell ref="A40:C40"/>
    <mergeCell ref="A39:C39"/>
    <mergeCell ref="A5:F5"/>
    <mergeCell ref="G5:AE5"/>
    <mergeCell ref="A6:A9"/>
    <mergeCell ref="B6:B9"/>
    <mergeCell ref="C6:C9"/>
    <mergeCell ref="D6:F7"/>
    <mergeCell ref="Y6:Y9"/>
    <mergeCell ref="AD6:AD9"/>
    <mergeCell ref="AE6:AE9"/>
    <mergeCell ref="G6:X6"/>
    <mergeCell ref="G7:O7"/>
    <mergeCell ref="P7:X7"/>
    <mergeCell ref="O8:O9"/>
  </mergeCells>
  <pageMargins left="0.23622047244094491" right="0.23622047244094491" top="0" bottom="0.74803149606299213" header="0.31496062992125984" footer="0.31496062992125984"/>
  <pageSetup paperSize="9" scale="50" fitToHeight="0" orientation="landscape" r:id="rId1"/>
  <rowBreaks count="1" manualBreakCount="1">
    <brk id="41" max="3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86"/>
  <sheetViews>
    <sheetView tabSelected="1" zoomScale="70" zoomScaleNormal="70" zoomScaleSheetLayoutView="80" workbookViewId="0">
      <pane ySplit="9" topLeftCell="A10" activePane="bottomLeft" state="frozen"/>
      <selection pane="bottomLeft" activeCell="AF10" sqref="AF10"/>
    </sheetView>
  </sheetViews>
  <sheetFormatPr defaultRowHeight="15"/>
  <cols>
    <col min="1" max="1" width="5.5703125" customWidth="1"/>
    <col min="2" max="2" width="47.42578125" customWidth="1"/>
    <col min="3" max="3" width="25.140625" customWidth="1"/>
    <col min="4" max="4" width="8.7109375" customWidth="1"/>
    <col min="5" max="5" width="11.5703125" customWidth="1"/>
    <col min="6" max="6" width="8.140625" customWidth="1"/>
    <col min="7" max="24" width="7.85546875" customWidth="1"/>
    <col min="25" max="25" width="10.85546875" customWidth="1"/>
    <col min="26" max="29" width="7" customWidth="1"/>
    <col min="30" max="30" width="11.42578125" customWidth="1"/>
    <col min="31" max="31" width="10" customWidth="1"/>
  </cols>
  <sheetData>
    <row r="1" spans="1:75" s="39" customFormat="1" ht="37.5" customHeight="1">
      <c r="A1" s="550" t="s">
        <v>263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104"/>
    </row>
    <row r="2" spans="1:75" s="39" customFormat="1" ht="30" customHeight="1">
      <c r="A2" s="568" t="s">
        <v>112</v>
      </c>
      <c r="B2" s="568"/>
      <c r="C2" s="140" t="s">
        <v>113</v>
      </c>
      <c r="E2" s="128"/>
      <c r="F2" s="128"/>
      <c r="G2" s="128"/>
      <c r="H2" s="570" t="s">
        <v>162</v>
      </c>
      <c r="I2" s="570"/>
      <c r="J2" s="570"/>
      <c r="K2" s="570"/>
      <c r="L2" s="570"/>
      <c r="M2" s="570"/>
      <c r="N2" s="570"/>
      <c r="O2" s="570"/>
      <c r="P2" s="570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6"/>
      <c r="AF2" s="104"/>
    </row>
    <row r="3" spans="1:75" s="39" customFormat="1" ht="40.5" customHeight="1">
      <c r="A3" s="569" t="s">
        <v>111</v>
      </c>
      <c r="B3" s="569"/>
      <c r="C3" s="141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6"/>
      <c r="AF3" s="104"/>
    </row>
    <row r="4" spans="1:75" s="39" customFormat="1" ht="24.75" customHeight="1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</row>
    <row r="5" spans="1:75" ht="15" customHeight="1">
      <c r="A5" s="552"/>
      <c r="B5" s="553"/>
      <c r="C5" s="553"/>
      <c r="D5" s="553"/>
      <c r="E5" s="553"/>
      <c r="F5" s="554"/>
      <c r="G5" s="555" t="s">
        <v>103</v>
      </c>
      <c r="H5" s="556"/>
      <c r="I5" s="556"/>
      <c r="J5" s="556"/>
      <c r="K5" s="556"/>
      <c r="L5" s="556"/>
      <c r="M5" s="556"/>
      <c r="N5" s="556"/>
      <c r="O5" s="556"/>
      <c r="P5" s="556"/>
      <c r="Q5" s="556"/>
      <c r="R5" s="556"/>
      <c r="S5" s="556"/>
      <c r="T5" s="556"/>
      <c r="U5" s="556"/>
      <c r="V5" s="556"/>
      <c r="W5" s="556"/>
      <c r="X5" s="556"/>
      <c r="Y5" s="556"/>
      <c r="Z5" s="556"/>
      <c r="AA5" s="556"/>
      <c r="AB5" s="556"/>
      <c r="AC5" s="556"/>
      <c r="AD5" s="556"/>
      <c r="AE5" s="556"/>
      <c r="AF5" s="98"/>
    </row>
    <row r="6" spans="1:75" ht="15" customHeight="1">
      <c r="A6" s="583" t="s">
        <v>0</v>
      </c>
      <c r="B6" s="578" t="s">
        <v>4</v>
      </c>
      <c r="C6" s="578" t="s">
        <v>1</v>
      </c>
      <c r="D6" s="603" t="s">
        <v>8</v>
      </c>
      <c r="E6" s="603"/>
      <c r="F6" s="603"/>
      <c r="G6" s="576" t="s">
        <v>108</v>
      </c>
      <c r="H6" s="576"/>
      <c r="I6" s="576"/>
      <c r="J6" s="576"/>
      <c r="K6" s="576"/>
      <c r="L6" s="576"/>
      <c r="M6" s="576"/>
      <c r="N6" s="576"/>
      <c r="O6" s="576"/>
      <c r="P6" s="576"/>
      <c r="Q6" s="576"/>
      <c r="R6" s="576"/>
      <c r="S6" s="576"/>
      <c r="T6" s="576"/>
      <c r="U6" s="576"/>
      <c r="V6" s="576"/>
      <c r="W6" s="576"/>
      <c r="X6" s="576"/>
      <c r="Y6" s="561" t="s">
        <v>5</v>
      </c>
      <c r="Z6" s="561" t="s">
        <v>89</v>
      </c>
      <c r="AA6" s="561" t="s">
        <v>88</v>
      </c>
      <c r="AB6" s="561" t="s">
        <v>94</v>
      </c>
      <c r="AC6" s="561" t="s">
        <v>90</v>
      </c>
      <c r="AD6" s="561" t="s">
        <v>14</v>
      </c>
      <c r="AE6" s="561" t="s">
        <v>6</v>
      </c>
    </row>
    <row r="7" spans="1:75" ht="15" customHeight="1">
      <c r="A7" s="583"/>
      <c r="B7" s="578"/>
      <c r="C7" s="578"/>
      <c r="D7" s="603"/>
      <c r="E7" s="603"/>
      <c r="F7" s="603"/>
      <c r="G7" s="564" t="s">
        <v>101</v>
      </c>
      <c r="H7" s="577"/>
      <c r="I7" s="577"/>
      <c r="J7" s="577"/>
      <c r="K7" s="577"/>
      <c r="L7" s="577"/>
      <c r="M7" s="577"/>
      <c r="N7" s="577"/>
      <c r="O7" s="565"/>
      <c r="P7" s="558" t="s">
        <v>102</v>
      </c>
      <c r="Q7" s="559"/>
      <c r="R7" s="559"/>
      <c r="S7" s="559"/>
      <c r="T7" s="559"/>
      <c r="U7" s="559"/>
      <c r="V7" s="559"/>
      <c r="W7" s="559"/>
      <c r="X7" s="560"/>
      <c r="Y7" s="562"/>
      <c r="Z7" s="562"/>
      <c r="AA7" s="562"/>
      <c r="AB7" s="562"/>
      <c r="AC7" s="562"/>
      <c r="AD7" s="562"/>
      <c r="AE7" s="562"/>
    </row>
    <row r="8" spans="1:75" ht="15" customHeight="1">
      <c r="A8" s="584"/>
      <c r="B8" s="571"/>
      <c r="C8" s="571"/>
      <c r="D8" s="571" t="s">
        <v>2</v>
      </c>
      <c r="E8" s="571" t="s">
        <v>13</v>
      </c>
      <c r="F8" s="571" t="s">
        <v>12</v>
      </c>
      <c r="G8" s="564" t="s">
        <v>89</v>
      </c>
      <c r="H8" s="565"/>
      <c r="I8" s="564" t="s">
        <v>88</v>
      </c>
      <c r="J8" s="565"/>
      <c r="K8" s="564" t="s">
        <v>94</v>
      </c>
      <c r="L8" s="565"/>
      <c r="M8" s="564" t="s">
        <v>90</v>
      </c>
      <c r="N8" s="565"/>
      <c r="O8" s="648" t="s">
        <v>7</v>
      </c>
      <c r="P8" s="558" t="s">
        <v>89</v>
      </c>
      <c r="Q8" s="560"/>
      <c r="R8" s="558" t="s">
        <v>88</v>
      </c>
      <c r="S8" s="560"/>
      <c r="T8" s="558" t="s">
        <v>94</v>
      </c>
      <c r="U8" s="560"/>
      <c r="V8" s="558" t="s">
        <v>90</v>
      </c>
      <c r="W8" s="560"/>
      <c r="X8" s="574" t="s">
        <v>7</v>
      </c>
      <c r="Y8" s="562"/>
      <c r="Z8" s="562"/>
      <c r="AA8" s="562"/>
      <c r="AB8" s="562"/>
      <c r="AC8" s="562"/>
      <c r="AD8" s="562"/>
      <c r="AE8" s="562"/>
    </row>
    <row r="9" spans="1:75" ht="48" customHeight="1">
      <c r="A9" s="584"/>
      <c r="B9" s="571"/>
      <c r="C9" s="571"/>
      <c r="D9" s="644"/>
      <c r="E9" s="644"/>
      <c r="F9" s="644"/>
      <c r="G9" s="172" t="s">
        <v>15</v>
      </c>
      <c r="H9" s="172" t="s">
        <v>16</v>
      </c>
      <c r="I9" s="172" t="s">
        <v>15</v>
      </c>
      <c r="J9" s="172" t="s">
        <v>16</v>
      </c>
      <c r="K9" s="172" t="s">
        <v>15</v>
      </c>
      <c r="L9" s="172" t="s">
        <v>16</v>
      </c>
      <c r="M9" s="172" t="s">
        <v>15</v>
      </c>
      <c r="N9" s="172" t="s">
        <v>16</v>
      </c>
      <c r="O9" s="649"/>
      <c r="P9" s="174" t="s">
        <v>15</v>
      </c>
      <c r="Q9" s="174" t="s">
        <v>16</v>
      </c>
      <c r="R9" s="174" t="s">
        <v>15</v>
      </c>
      <c r="S9" s="174" t="s">
        <v>16</v>
      </c>
      <c r="T9" s="174" t="s">
        <v>15</v>
      </c>
      <c r="U9" s="174" t="s">
        <v>16</v>
      </c>
      <c r="V9" s="174" t="s">
        <v>15</v>
      </c>
      <c r="W9" s="174" t="s">
        <v>16</v>
      </c>
      <c r="X9" s="645"/>
      <c r="Y9" s="562"/>
      <c r="Z9" s="562"/>
      <c r="AA9" s="562"/>
      <c r="AB9" s="562"/>
      <c r="AC9" s="562"/>
      <c r="AD9" s="562"/>
      <c r="AE9" s="562"/>
    </row>
    <row r="10" spans="1:75" ht="15.75">
      <c r="A10" s="518" t="s">
        <v>23</v>
      </c>
      <c r="B10" s="796"/>
      <c r="C10" s="797"/>
      <c r="D10" s="796"/>
      <c r="E10" s="796"/>
      <c r="F10" s="796"/>
      <c r="G10" s="539"/>
      <c r="H10" s="539"/>
      <c r="I10" s="539"/>
      <c r="J10" s="539"/>
      <c r="K10" s="539"/>
      <c r="L10" s="539"/>
      <c r="M10" s="539"/>
      <c r="N10" s="539"/>
      <c r="O10" s="539"/>
      <c r="P10" s="539"/>
      <c r="Q10" s="539"/>
      <c r="R10" s="539"/>
      <c r="S10" s="539"/>
      <c r="T10" s="539"/>
      <c r="U10" s="539"/>
      <c r="V10" s="539"/>
      <c r="W10" s="539"/>
      <c r="X10" s="539"/>
      <c r="Y10" s="539"/>
      <c r="Z10" s="539"/>
      <c r="AA10" s="539"/>
      <c r="AB10" s="539"/>
      <c r="AC10" s="539"/>
      <c r="AD10" s="539"/>
      <c r="AE10" s="817"/>
    </row>
    <row r="11" spans="1:75" s="442" customFormat="1" ht="40.5" customHeight="1">
      <c r="A11" s="816">
        <v>2.9</v>
      </c>
      <c r="B11" s="790" t="s">
        <v>336</v>
      </c>
      <c r="C11" s="815" t="s">
        <v>337</v>
      </c>
      <c r="D11" s="813"/>
      <c r="E11" s="814">
        <v>9</v>
      </c>
      <c r="F11" s="813"/>
      <c r="G11" s="812">
        <v>5</v>
      </c>
      <c r="H11" s="811">
        <v>5</v>
      </c>
      <c r="I11" s="812">
        <v>10</v>
      </c>
      <c r="J11" s="811">
        <v>5</v>
      </c>
      <c r="K11" s="810"/>
      <c r="L11" s="809"/>
      <c r="M11" s="809"/>
      <c r="N11" s="809"/>
      <c r="O11" s="809">
        <v>1</v>
      </c>
      <c r="P11" s="807"/>
      <c r="Q11" s="807"/>
      <c r="R11" s="807"/>
      <c r="S11" s="807"/>
      <c r="T11" s="807"/>
      <c r="U11" s="807"/>
      <c r="V11" s="808"/>
      <c r="W11" s="808"/>
      <c r="X11" s="807"/>
      <c r="Y11" s="806">
        <f>SUM(Z11:AC11)</f>
        <v>15</v>
      </c>
      <c r="Z11" s="806">
        <f>G11+P11</f>
        <v>5</v>
      </c>
      <c r="AA11" s="806">
        <f>I11+R11</f>
        <v>10</v>
      </c>
      <c r="AB11" s="806">
        <f>K11+T11</f>
        <v>0</v>
      </c>
      <c r="AC11" s="806">
        <f>M11+V11</f>
        <v>0</v>
      </c>
      <c r="AD11" s="806">
        <f>SUM(G11:N11,P11:W11)</f>
        <v>25</v>
      </c>
      <c r="AE11" s="806">
        <f>O11+X11</f>
        <v>1</v>
      </c>
    </row>
    <row r="12" spans="1:75" s="444" customFormat="1" ht="21" customHeight="1">
      <c r="A12" s="805" t="s">
        <v>9</v>
      </c>
      <c r="B12" s="804"/>
      <c r="C12" s="804"/>
      <c r="D12" s="804"/>
      <c r="E12" s="804"/>
      <c r="F12" s="803"/>
      <c r="G12" s="802">
        <f>SUM(G11)</f>
        <v>5</v>
      </c>
      <c r="H12" s="802">
        <f>SUM(H11)</f>
        <v>5</v>
      </c>
      <c r="I12" s="802">
        <f>SUM(I11)</f>
        <v>10</v>
      </c>
      <c r="J12" s="802">
        <f>SUM(J11)</f>
        <v>5</v>
      </c>
      <c r="K12" s="801">
        <f>SUM(K11)</f>
        <v>0</v>
      </c>
      <c r="L12" s="792">
        <f>SUM(L11)</f>
        <v>0</v>
      </c>
      <c r="M12" s="792">
        <f>SUM(M11)</f>
        <v>0</v>
      </c>
      <c r="N12" s="792">
        <f>SUM(N11)</f>
        <v>0</v>
      </c>
      <c r="O12" s="792">
        <f>SUM(O11)</f>
        <v>1</v>
      </c>
      <c r="P12" s="792">
        <f>SUM(P11)</f>
        <v>0</v>
      </c>
      <c r="Q12" s="792">
        <f>SUM(Q11)</f>
        <v>0</v>
      </c>
      <c r="R12" s="792">
        <f>SUM(R11)</f>
        <v>0</v>
      </c>
      <c r="S12" s="792">
        <f>SUM(S11)</f>
        <v>0</v>
      </c>
      <c r="T12" s="792">
        <f>SUM(T11)</f>
        <v>0</v>
      </c>
      <c r="U12" s="792">
        <f>SUM(U11)</f>
        <v>0</v>
      </c>
      <c r="V12" s="800">
        <f>SUM(V11)</f>
        <v>0</v>
      </c>
      <c r="W12" s="800">
        <f>SUM(W11)</f>
        <v>0</v>
      </c>
      <c r="X12" s="800">
        <f>SUM(X11)</f>
        <v>0</v>
      </c>
      <c r="Y12" s="792">
        <f>SUM(Y11)</f>
        <v>15</v>
      </c>
      <c r="Z12" s="792">
        <f>SUM(Z11)</f>
        <v>5</v>
      </c>
      <c r="AA12" s="792">
        <f>SUM(AA11)</f>
        <v>10</v>
      </c>
      <c r="AB12" s="792">
        <f>SUM(AB11)</f>
        <v>0</v>
      </c>
      <c r="AC12" s="792">
        <f>SUM(AC11)</f>
        <v>0</v>
      </c>
      <c r="AD12" s="799">
        <f>SUM(AD11)</f>
        <v>25</v>
      </c>
      <c r="AE12" s="792">
        <f>SUM(AE11)</f>
        <v>1</v>
      </c>
      <c r="AF12" s="445"/>
      <c r="AG12" s="445"/>
      <c r="AH12" s="445"/>
      <c r="AI12" s="445"/>
      <c r="AJ12" s="445"/>
      <c r="AK12" s="445"/>
      <c r="AL12" s="445"/>
      <c r="AM12" s="445"/>
      <c r="AN12" s="445"/>
      <c r="AO12" s="445"/>
      <c r="AP12" s="445"/>
      <c r="AQ12" s="445"/>
      <c r="AR12" s="445"/>
      <c r="AS12" s="445"/>
      <c r="AT12" s="445"/>
      <c r="AU12" s="445"/>
      <c r="AV12" s="445"/>
      <c r="AW12" s="445"/>
      <c r="AX12" s="445"/>
      <c r="AY12" s="445"/>
      <c r="AZ12" s="445"/>
      <c r="BA12" s="445"/>
      <c r="BB12" s="445"/>
      <c r="BC12" s="445"/>
      <c r="BD12" s="445"/>
      <c r="BE12" s="445"/>
      <c r="BF12" s="445"/>
      <c r="BG12" s="445"/>
      <c r="BH12" s="445"/>
      <c r="BI12" s="445"/>
      <c r="BJ12" s="445"/>
      <c r="BK12" s="445"/>
      <c r="BL12" s="445"/>
      <c r="BM12" s="445"/>
      <c r="BN12" s="445"/>
      <c r="BO12" s="445"/>
      <c r="BP12" s="445"/>
      <c r="BQ12" s="445"/>
      <c r="BR12" s="445"/>
      <c r="BS12" s="445"/>
      <c r="BT12" s="445"/>
      <c r="BU12" s="445"/>
      <c r="BV12" s="445"/>
      <c r="BW12" s="445"/>
    </row>
    <row r="13" spans="1:75" ht="15.75">
      <c r="A13" s="798" t="s">
        <v>25</v>
      </c>
      <c r="B13" s="796"/>
      <c r="C13" s="797"/>
      <c r="D13" s="796"/>
      <c r="E13" s="796"/>
      <c r="F13" s="796"/>
      <c r="G13" s="539"/>
      <c r="H13" s="539"/>
      <c r="I13" s="539"/>
      <c r="J13" s="539"/>
      <c r="K13" s="539"/>
      <c r="L13" s="539"/>
      <c r="M13" s="539"/>
      <c r="N13" s="539"/>
      <c r="O13" s="539"/>
      <c r="P13" s="539"/>
      <c r="Q13" s="539"/>
      <c r="R13" s="539"/>
      <c r="S13" s="539"/>
      <c r="T13" s="539"/>
      <c r="U13" s="539"/>
      <c r="V13" s="539"/>
      <c r="W13" s="539"/>
      <c r="X13" s="539"/>
      <c r="Y13" s="539"/>
      <c r="Z13" s="539"/>
      <c r="AA13" s="539"/>
      <c r="AB13" s="539"/>
      <c r="AC13" s="539"/>
      <c r="AD13" s="539"/>
      <c r="AE13" s="539"/>
      <c r="AF13" s="446"/>
      <c r="AG13" s="446"/>
      <c r="AH13" s="446"/>
      <c r="AI13" s="446"/>
      <c r="AJ13" s="446"/>
      <c r="AK13" s="446"/>
      <c r="AL13" s="446"/>
      <c r="AM13" s="446"/>
      <c r="AN13" s="446"/>
      <c r="AO13" s="446"/>
      <c r="AP13" s="446"/>
      <c r="AQ13" s="446"/>
      <c r="AR13" s="446"/>
      <c r="AS13" s="446"/>
      <c r="AT13" s="446"/>
      <c r="AU13" s="446"/>
      <c r="AV13" s="446"/>
      <c r="AW13" s="446"/>
      <c r="AX13" s="446"/>
      <c r="AY13" s="446"/>
      <c r="AZ13" s="446"/>
      <c r="BA13" s="446"/>
      <c r="BB13" s="446"/>
      <c r="BC13" s="446"/>
      <c r="BD13" s="446"/>
      <c r="BE13" s="446"/>
      <c r="BF13" s="446"/>
      <c r="BG13" s="446"/>
      <c r="BH13" s="446"/>
      <c r="BI13" s="446"/>
      <c r="BJ13" s="446"/>
      <c r="BK13" s="446"/>
      <c r="BL13" s="446"/>
      <c r="BM13" s="446"/>
      <c r="BN13" s="446"/>
      <c r="BO13" s="446"/>
      <c r="BP13" s="446"/>
      <c r="BQ13" s="446"/>
      <c r="BR13" s="446"/>
      <c r="BS13" s="446"/>
      <c r="BT13" s="446"/>
      <c r="BU13" s="446"/>
      <c r="BV13" s="446"/>
      <c r="BW13" s="446"/>
    </row>
    <row r="14" spans="1:75" ht="27.75" customHeight="1">
      <c r="A14" s="795">
        <v>5.0999999999999996</v>
      </c>
      <c r="B14" s="794" t="s">
        <v>51</v>
      </c>
      <c r="C14" s="500" t="s">
        <v>352</v>
      </c>
      <c r="D14" s="538">
        <v>11</v>
      </c>
      <c r="E14" s="765" t="s">
        <v>359</v>
      </c>
      <c r="F14" s="537"/>
      <c r="G14" s="768">
        <v>15</v>
      </c>
      <c r="H14" s="496">
        <v>5</v>
      </c>
      <c r="I14" s="768">
        <v>10</v>
      </c>
      <c r="J14" s="496">
        <v>5</v>
      </c>
      <c r="K14" s="768">
        <v>15</v>
      </c>
      <c r="L14" s="768"/>
      <c r="M14" s="767"/>
      <c r="N14" s="767"/>
      <c r="O14" s="495">
        <v>2</v>
      </c>
      <c r="P14" s="773">
        <v>15</v>
      </c>
      <c r="Q14" s="772">
        <v>5</v>
      </c>
      <c r="R14" s="773">
        <v>10</v>
      </c>
      <c r="S14" s="772">
        <v>5</v>
      </c>
      <c r="T14" s="773">
        <v>15</v>
      </c>
      <c r="U14" s="787"/>
      <c r="V14" s="787"/>
      <c r="W14" s="787"/>
      <c r="X14" s="773">
        <v>2</v>
      </c>
      <c r="Y14" s="492">
        <f>SUM(Z14:AC14)</f>
        <v>80</v>
      </c>
      <c r="Z14" s="492">
        <f>G14+P14</f>
        <v>30</v>
      </c>
      <c r="AA14" s="492">
        <f>I14+R14</f>
        <v>20</v>
      </c>
      <c r="AB14" s="492">
        <f>K14+T14</f>
        <v>30</v>
      </c>
      <c r="AC14" s="492">
        <f>M14+V14</f>
        <v>0</v>
      </c>
      <c r="AD14" s="492">
        <f>SUM(G14:N14,P14:W14)</f>
        <v>100</v>
      </c>
      <c r="AE14" s="492">
        <f>O14+X14</f>
        <v>4</v>
      </c>
    </row>
    <row r="15" spans="1:75" ht="27.75" customHeight="1">
      <c r="A15" s="795">
        <v>5.2</v>
      </c>
      <c r="B15" s="794" t="s">
        <v>80</v>
      </c>
      <c r="C15" s="500" t="s">
        <v>353</v>
      </c>
      <c r="D15" s="538">
        <v>11</v>
      </c>
      <c r="E15" s="765" t="s">
        <v>246</v>
      </c>
      <c r="F15" s="537"/>
      <c r="G15" s="768"/>
      <c r="H15" s="496"/>
      <c r="I15" s="768"/>
      <c r="J15" s="496"/>
      <c r="K15" s="768"/>
      <c r="L15" s="768"/>
      <c r="M15" s="767"/>
      <c r="N15" s="767"/>
      <c r="O15" s="495"/>
      <c r="P15" s="773">
        <v>15</v>
      </c>
      <c r="Q15" s="772">
        <v>5</v>
      </c>
      <c r="R15" s="773">
        <v>10</v>
      </c>
      <c r="S15" s="772">
        <v>5</v>
      </c>
      <c r="T15" s="773">
        <v>15</v>
      </c>
      <c r="U15" s="494"/>
      <c r="V15" s="493"/>
      <c r="W15" s="494"/>
      <c r="X15" s="773">
        <v>2</v>
      </c>
      <c r="Y15" s="492">
        <f>SUM(Z15:AC15)</f>
        <v>40</v>
      </c>
      <c r="Z15" s="492">
        <f>G15+P15</f>
        <v>15</v>
      </c>
      <c r="AA15" s="492">
        <f>I15+R15</f>
        <v>10</v>
      </c>
      <c r="AB15" s="492">
        <f>K15+T15</f>
        <v>15</v>
      </c>
      <c r="AC15" s="492">
        <f>M15+V15</f>
        <v>0</v>
      </c>
      <c r="AD15" s="774">
        <f>SUM(G15:N15,P15:W15)</f>
        <v>50</v>
      </c>
      <c r="AE15" s="492">
        <f>O15+X15</f>
        <v>2</v>
      </c>
    </row>
    <row r="16" spans="1:75" ht="27.75" customHeight="1">
      <c r="A16" s="786">
        <v>5.3</v>
      </c>
      <c r="B16" s="793" t="s">
        <v>52</v>
      </c>
      <c r="C16" s="500" t="str">
        <f>[4]RAZEM!C37</f>
        <v>0912-7LEK-C5.3-G</v>
      </c>
      <c r="D16" s="538">
        <v>10</v>
      </c>
      <c r="E16" s="537">
        <v>10</v>
      </c>
      <c r="F16" s="537"/>
      <c r="G16" s="768"/>
      <c r="H16" s="496"/>
      <c r="I16" s="768"/>
      <c r="J16" s="496"/>
      <c r="K16" s="768"/>
      <c r="L16" s="768"/>
      <c r="M16" s="495"/>
      <c r="N16" s="506"/>
      <c r="O16" s="495"/>
      <c r="P16" s="773">
        <v>15</v>
      </c>
      <c r="Q16" s="772">
        <v>10</v>
      </c>
      <c r="R16" s="773">
        <v>20</v>
      </c>
      <c r="S16" s="772">
        <v>15</v>
      </c>
      <c r="T16" s="773">
        <v>15</v>
      </c>
      <c r="U16" s="787"/>
      <c r="V16" s="787"/>
      <c r="W16" s="787"/>
      <c r="X16" s="773">
        <v>3</v>
      </c>
      <c r="Y16" s="492">
        <f>SUM(Z16:AC16)</f>
        <v>50</v>
      </c>
      <c r="Z16" s="492">
        <f>SUM(G16,P16)</f>
        <v>15</v>
      </c>
      <c r="AA16" s="492">
        <f>SUM(I16,R16)</f>
        <v>20</v>
      </c>
      <c r="AB16" s="492">
        <f>SUM(K16,T16)</f>
        <v>15</v>
      </c>
      <c r="AC16" s="492">
        <f>SUM(M16,V16)</f>
        <v>0</v>
      </c>
      <c r="AD16" s="774">
        <f>SUM(G16:N16,P16:W16)</f>
        <v>75</v>
      </c>
      <c r="AE16" s="492">
        <f>SUM(O16,X16)</f>
        <v>3</v>
      </c>
      <c r="AF16" s="446"/>
      <c r="AG16" s="446"/>
      <c r="AH16" s="446"/>
      <c r="AI16" s="446"/>
      <c r="AJ16" s="446"/>
      <c r="AK16" s="446"/>
      <c r="AL16" s="446"/>
      <c r="AM16" s="446"/>
      <c r="AN16" s="446"/>
      <c r="AO16" s="446"/>
      <c r="AP16" s="446"/>
      <c r="AQ16" s="446"/>
      <c r="AR16" s="446"/>
      <c r="AS16" s="446"/>
      <c r="AT16" s="446"/>
      <c r="AU16" s="446"/>
      <c r="AV16" s="446"/>
      <c r="AW16" s="446"/>
      <c r="AX16" s="446"/>
      <c r="AY16" s="446"/>
      <c r="AZ16" s="446"/>
      <c r="BA16" s="446"/>
      <c r="BB16" s="446"/>
      <c r="BC16" s="446"/>
      <c r="BD16" s="446"/>
      <c r="BE16" s="446"/>
      <c r="BF16" s="446"/>
      <c r="BG16" s="446"/>
      <c r="BH16" s="446"/>
      <c r="BI16" s="446"/>
      <c r="BJ16" s="446"/>
      <c r="BK16" s="446"/>
      <c r="BL16" s="446"/>
      <c r="BM16" s="446"/>
      <c r="BN16" s="446"/>
      <c r="BO16" s="446"/>
      <c r="BP16" s="446"/>
      <c r="BQ16" s="446"/>
      <c r="BR16" s="446"/>
      <c r="BS16" s="446"/>
      <c r="BT16" s="446"/>
      <c r="BU16" s="446"/>
      <c r="BV16" s="446"/>
      <c r="BW16" s="446"/>
    </row>
    <row r="17" spans="1:31" ht="27.75" customHeight="1">
      <c r="A17" s="786">
        <v>5.7</v>
      </c>
      <c r="B17" s="790" t="s">
        <v>56</v>
      </c>
      <c r="C17" s="500" t="str">
        <f>[4]RAZEM!C41</f>
        <v>0912-7LEK-C5.7-MR</v>
      </c>
      <c r="D17" s="538">
        <v>12</v>
      </c>
      <c r="E17" s="537">
        <v>9</v>
      </c>
      <c r="F17" s="537"/>
      <c r="G17" s="768">
        <v>15</v>
      </c>
      <c r="H17" s="496">
        <v>15</v>
      </c>
      <c r="I17" s="768">
        <v>25</v>
      </c>
      <c r="J17" s="496">
        <v>30</v>
      </c>
      <c r="K17" s="768">
        <v>15</v>
      </c>
      <c r="L17" s="768"/>
      <c r="M17" s="767"/>
      <c r="N17" s="767"/>
      <c r="O17" s="495">
        <v>4</v>
      </c>
      <c r="P17" s="493"/>
      <c r="Q17" s="494"/>
      <c r="R17" s="493"/>
      <c r="S17" s="494"/>
      <c r="T17" s="773"/>
      <c r="U17" s="494"/>
      <c r="V17" s="493"/>
      <c r="W17" s="494"/>
      <c r="X17" s="493"/>
      <c r="Y17" s="492">
        <f>SUM(Z17:AC17)</f>
        <v>55</v>
      </c>
      <c r="Z17" s="492">
        <f>SUM(G17,P17)</f>
        <v>15</v>
      </c>
      <c r="AA17" s="492">
        <f>SUM(I17,R17)</f>
        <v>25</v>
      </c>
      <c r="AB17" s="492">
        <f>SUM(K17,T17)</f>
        <v>15</v>
      </c>
      <c r="AC17" s="492">
        <f>SUM(M17,V17)</f>
        <v>0</v>
      </c>
      <c r="AD17" s="774">
        <f>SUM(G17:N17,P17:W17)</f>
        <v>100</v>
      </c>
      <c r="AE17" s="492">
        <f>SUM(O17,X17)</f>
        <v>4</v>
      </c>
    </row>
    <row r="18" spans="1:31" ht="21.75" customHeight="1">
      <c r="A18" s="667" t="s">
        <v>9</v>
      </c>
      <c r="B18" s="668"/>
      <c r="C18" s="668"/>
      <c r="D18" s="668"/>
      <c r="E18" s="668"/>
      <c r="F18" s="669"/>
      <c r="G18" s="792">
        <f>SUM(G14:G17)</f>
        <v>30</v>
      </c>
      <c r="H18" s="504">
        <f>SUM(H14:H17)</f>
        <v>20</v>
      </c>
      <c r="I18" s="792">
        <f>SUM(I14:I17)</f>
        <v>35</v>
      </c>
      <c r="J18" s="504">
        <f>SUM(J14:J17)</f>
        <v>35</v>
      </c>
      <c r="K18" s="792">
        <f>SUM(K14:K17)</f>
        <v>30</v>
      </c>
      <c r="L18" s="792">
        <f>SUM(L14:L17)</f>
        <v>0</v>
      </c>
      <c r="M18" s="503">
        <f>SUM(M14:M17)</f>
        <v>0</v>
      </c>
      <c r="N18" s="504">
        <f>SUM(N14:N17)</f>
        <v>0</v>
      </c>
      <c r="O18" s="503">
        <f>SUM(O14:O17)</f>
        <v>6</v>
      </c>
      <c r="P18" s="503">
        <f>SUM(P14:P17)</f>
        <v>45</v>
      </c>
      <c r="Q18" s="504">
        <f>SUM(Q14:Q17)</f>
        <v>20</v>
      </c>
      <c r="R18" s="503">
        <f>SUM(R14:R17)</f>
        <v>40</v>
      </c>
      <c r="S18" s="504">
        <f>SUM(S14:S17)</f>
        <v>25</v>
      </c>
      <c r="T18" s="503">
        <f>SUM(T14:T17)</f>
        <v>45</v>
      </c>
      <c r="U18" s="504">
        <f>SUM(U14:U17)</f>
        <v>0</v>
      </c>
      <c r="V18" s="503">
        <f>SUM(V14:V17)</f>
        <v>0</v>
      </c>
      <c r="W18" s="504">
        <f>SUM(W14:W17)</f>
        <v>0</v>
      </c>
      <c r="X18" s="503">
        <f>SUM(X14:X17)</f>
        <v>7</v>
      </c>
      <c r="Y18" s="503">
        <f>SUM(Y14:Y17)</f>
        <v>225</v>
      </c>
      <c r="Z18" s="503">
        <f>SUM(Z14:Z17)</f>
        <v>75</v>
      </c>
      <c r="AA18" s="503">
        <f>SUM(AA14:AA17)</f>
        <v>75</v>
      </c>
      <c r="AB18" s="503">
        <f>SUM(AB14:AB17)</f>
        <v>75</v>
      </c>
      <c r="AC18" s="503">
        <f>SUM(AC14:AC17)</f>
        <v>0</v>
      </c>
      <c r="AD18" s="503">
        <f>SUM(AD14:AD17)</f>
        <v>325</v>
      </c>
      <c r="AE18" s="503">
        <f>SUM(AE14:AE17)</f>
        <v>13</v>
      </c>
    </row>
    <row r="19" spans="1:31" ht="20.25" customHeight="1">
      <c r="A19" s="518" t="s">
        <v>26</v>
      </c>
      <c r="B19" s="517"/>
      <c r="C19" s="516"/>
      <c r="D19" s="517"/>
      <c r="E19" s="517"/>
      <c r="F19" s="517"/>
      <c r="G19" s="791"/>
      <c r="H19" s="514"/>
      <c r="I19" s="791"/>
      <c r="J19" s="514"/>
      <c r="K19" s="791"/>
      <c r="L19" s="791"/>
      <c r="M19" s="513"/>
      <c r="N19" s="514"/>
      <c r="O19" s="513"/>
      <c r="P19" s="513"/>
      <c r="Q19" s="513"/>
      <c r="R19" s="513"/>
      <c r="S19" s="513"/>
      <c r="T19" s="513"/>
      <c r="U19" s="513"/>
      <c r="V19" s="513"/>
      <c r="W19" s="513"/>
      <c r="X19" s="513"/>
      <c r="Y19" s="513"/>
      <c r="Z19" s="513"/>
      <c r="AA19" s="513"/>
      <c r="AB19" s="513"/>
      <c r="AC19" s="513"/>
      <c r="AD19" s="513"/>
      <c r="AE19" s="512"/>
    </row>
    <row r="20" spans="1:31" ht="32.25" customHeight="1">
      <c r="A20" s="786">
        <v>6.2</v>
      </c>
      <c r="B20" s="790" t="s">
        <v>63</v>
      </c>
      <c r="C20" s="500" t="str">
        <f>"0912-7LEK-C"&amp;A20&amp;"-"&amp;UPPER(LEFT(B20,1))</f>
        <v>0912-7LEK-C6,2-C</v>
      </c>
      <c r="D20" s="538">
        <v>12</v>
      </c>
      <c r="E20" s="765" t="s">
        <v>360</v>
      </c>
      <c r="F20" s="537"/>
      <c r="G20" s="768">
        <v>15</v>
      </c>
      <c r="H20" s="506">
        <v>10</v>
      </c>
      <c r="I20" s="768">
        <v>15</v>
      </c>
      <c r="J20" s="506">
        <v>10</v>
      </c>
      <c r="K20" s="768">
        <v>25</v>
      </c>
      <c r="L20" s="768"/>
      <c r="M20" s="495"/>
      <c r="N20" s="506"/>
      <c r="O20" s="495">
        <v>3</v>
      </c>
      <c r="P20" s="493">
        <v>15</v>
      </c>
      <c r="Q20" s="494">
        <v>10</v>
      </c>
      <c r="R20" s="493">
        <v>15</v>
      </c>
      <c r="S20" s="494">
        <v>10</v>
      </c>
      <c r="T20" s="493">
        <v>25</v>
      </c>
      <c r="U20" s="494"/>
      <c r="V20" s="493"/>
      <c r="W20" s="494"/>
      <c r="X20" s="493">
        <v>3</v>
      </c>
      <c r="Y20" s="492">
        <f>SUM(Z20:AC20)</f>
        <v>110</v>
      </c>
      <c r="Z20" s="492">
        <f>SUM(G20,P20)</f>
        <v>30</v>
      </c>
      <c r="AA20" s="492">
        <f>SUM(I20,R20)</f>
        <v>30</v>
      </c>
      <c r="AB20" s="492">
        <f>SUM(K20,T20)</f>
        <v>50</v>
      </c>
      <c r="AC20" s="492">
        <f>SUM(M20,V20)</f>
        <v>0</v>
      </c>
      <c r="AD20" s="492">
        <f>SUM(G20:N20,P20:W20)</f>
        <v>150</v>
      </c>
      <c r="AE20" s="492">
        <f>SUM(O20,X20)</f>
        <v>6</v>
      </c>
    </row>
    <row r="21" spans="1:31" ht="32.25" customHeight="1">
      <c r="A21" s="786">
        <v>6.3</v>
      </c>
      <c r="B21" s="790" t="s">
        <v>64</v>
      </c>
      <c r="C21" s="500" t="str">
        <f>[4]RAZEM!C51</f>
        <v>0912-7LEK-C6.3-CD</v>
      </c>
      <c r="D21" s="538">
        <v>9</v>
      </c>
      <c r="E21" s="537">
        <v>9</v>
      </c>
      <c r="F21" s="537"/>
      <c r="G21" s="768">
        <v>15</v>
      </c>
      <c r="H21" s="506">
        <v>10</v>
      </c>
      <c r="I21" s="768">
        <v>15</v>
      </c>
      <c r="J21" s="506">
        <v>10</v>
      </c>
      <c r="K21" s="768">
        <v>25</v>
      </c>
      <c r="L21" s="768"/>
      <c r="M21" s="495"/>
      <c r="N21" s="506"/>
      <c r="O21" s="495">
        <v>3</v>
      </c>
      <c r="P21" s="493"/>
      <c r="Q21" s="494"/>
      <c r="R21" s="493"/>
      <c r="S21" s="494"/>
      <c r="T21" s="493"/>
      <c r="U21" s="494"/>
      <c r="V21" s="493"/>
      <c r="W21" s="494"/>
      <c r="X21" s="493"/>
      <c r="Y21" s="492">
        <f>SUM(Z21:AC21)</f>
        <v>55</v>
      </c>
      <c r="Z21" s="492">
        <f>SUM(G21,P21)</f>
        <v>15</v>
      </c>
      <c r="AA21" s="492">
        <f>SUM(I21,R21)</f>
        <v>15</v>
      </c>
      <c r="AB21" s="492">
        <f>SUM(K21,T21)</f>
        <v>25</v>
      </c>
      <c r="AC21" s="492">
        <f>SUM(M21,V21)</f>
        <v>0</v>
      </c>
      <c r="AD21" s="492">
        <f>SUM(G21:N21,P21:W21)</f>
        <v>75</v>
      </c>
      <c r="AE21" s="492">
        <f>SUM(O21,X21)</f>
        <v>3</v>
      </c>
    </row>
    <row r="22" spans="1:31" ht="32.25" customHeight="1">
      <c r="A22" s="786">
        <v>6.4</v>
      </c>
      <c r="B22" s="790" t="s">
        <v>65</v>
      </c>
      <c r="C22" s="500" t="str">
        <f>[4]RAZEM!C52</f>
        <v>0912-7LEK-C6.4-OiT</v>
      </c>
      <c r="D22" s="538">
        <v>9</v>
      </c>
      <c r="E22" s="537">
        <v>9</v>
      </c>
      <c r="F22" s="537"/>
      <c r="G22" s="768">
        <v>15</v>
      </c>
      <c r="H22" s="496">
        <v>10</v>
      </c>
      <c r="I22" s="768">
        <v>15</v>
      </c>
      <c r="J22" s="496">
        <v>10</v>
      </c>
      <c r="K22" s="768">
        <v>25</v>
      </c>
      <c r="L22" s="768"/>
      <c r="M22" s="767"/>
      <c r="N22" s="767"/>
      <c r="O22" s="768">
        <v>3</v>
      </c>
      <c r="P22" s="493"/>
      <c r="Q22" s="494"/>
      <c r="R22" s="493"/>
      <c r="S22" s="494"/>
      <c r="T22" s="493"/>
      <c r="U22" s="494"/>
      <c r="V22" s="493"/>
      <c r="W22" s="494"/>
      <c r="X22" s="493"/>
      <c r="Y22" s="492">
        <f>SUM(Z22:AC22)</f>
        <v>55</v>
      </c>
      <c r="Z22" s="492">
        <f>SUM(G22,P22)</f>
        <v>15</v>
      </c>
      <c r="AA22" s="492">
        <f>SUM(I22,R22)</f>
        <v>15</v>
      </c>
      <c r="AB22" s="492">
        <f>SUM(K22,T22)</f>
        <v>25</v>
      </c>
      <c r="AC22" s="492">
        <f>SUM(M22,V22)</f>
        <v>0</v>
      </c>
      <c r="AD22" s="492">
        <f>SUM(G22:N22,P22:W22)</f>
        <v>75</v>
      </c>
      <c r="AE22" s="492">
        <f>SUM(O22,X22)</f>
        <v>3</v>
      </c>
    </row>
    <row r="23" spans="1:31" ht="32.25" customHeight="1">
      <c r="A23" s="786">
        <v>6.5</v>
      </c>
      <c r="B23" s="790" t="s">
        <v>367</v>
      </c>
      <c r="C23" s="500" t="str">
        <f>"0912-7LEK-C"&amp;A23&amp;"-"&amp;UPPER(LEFT(B23,1))</f>
        <v>0912-7LEK-C6,5-C</v>
      </c>
      <c r="D23" s="538">
        <v>9</v>
      </c>
      <c r="E23" s="537">
        <v>9</v>
      </c>
      <c r="F23" s="537"/>
      <c r="G23" s="767"/>
      <c r="H23" s="767"/>
      <c r="I23" s="767"/>
      <c r="J23" s="767"/>
      <c r="K23" s="767"/>
      <c r="L23" s="767"/>
      <c r="M23" s="767"/>
      <c r="N23" s="767"/>
      <c r="O23" s="767"/>
      <c r="P23" s="493">
        <v>15</v>
      </c>
      <c r="Q23" s="494">
        <v>5</v>
      </c>
      <c r="R23" s="493">
        <v>10</v>
      </c>
      <c r="S23" s="494"/>
      <c r="T23" s="493">
        <v>20</v>
      </c>
      <c r="U23" s="494"/>
      <c r="V23" s="493"/>
      <c r="W23" s="494"/>
      <c r="X23" s="493">
        <v>2</v>
      </c>
      <c r="Y23" s="492">
        <f>SUM(Z23:AC23)</f>
        <v>45</v>
      </c>
      <c r="Z23" s="492">
        <f>SUM(G23,P23)</f>
        <v>15</v>
      </c>
      <c r="AA23" s="492">
        <f>SUM(I23,R23)</f>
        <v>10</v>
      </c>
      <c r="AB23" s="492">
        <f>SUM(K23,T23)</f>
        <v>20</v>
      </c>
      <c r="AC23" s="492">
        <f>SUM(M23,V23)</f>
        <v>0</v>
      </c>
      <c r="AD23" s="492">
        <f>SUM(G23:N23,P23:W23)</f>
        <v>50</v>
      </c>
      <c r="AE23" s="492">
        <f>SUM(O23,X23)</f>
        <v>2</v>
      </c>
    </row>
    <row r="24" spans="1:31" ht="32.25" customHeight="1">
      <c r="A24" s="786">
        <v>6.6</v>
      </c>
      <c r="B24" s="785" t="s">
        <v>67</v>
      </c>
      <c r="C24" s="500" t="str">
        <f>"0912-7LEK-C"&amp;A24&amp;"-"&amp;UPPER(LEFT(B24,1))</f>
        <v>0912-7LEK-C6,6-U</v>
      </c>
      <c r="D24" s="538">
        <v>10</v>
      </c>
      <c r="E24" s="537">
        <v>10</v>
      </c>
      <c r="F24" s="537"/>
      <c r="G24" s="768"/>
      <c r="H24" s="496"/>
      <c r="I24" s="768"/>
      <c r="J24" s="496"/>
      <c r="K24" s="768"/>
      <c r="L24" s="768"/>
      <c r="M24" s="495"/>
      <c r="N24" s="506"/>
      <c r="O24" s="768"/>
      <c r="P24" s="493">
        <v>15</v>
      </c>
      <c r="Q24" s="494">
        <v>15</v>
      </c>
      <c r="R24" s="493">
        <v>15</v>
      </c>
      <c r="S24" s="494">
        <v>15</v>
      </c>
      <c r="T24" s="493">
        <v>15</v>
      </c>
      <c r="U24" s="494"/>
      <c r="V24" s="493"/>
      <c r="W24" s="494"/>
      <c r="X24" s="493">
        <v>3</v>
      </c>
      <c r="Y24" s="492">
        <f>SUM(Z24:AC24)</f>
        <v>45</v>
      </c>
      <c r="Z24" s="492">
        <f>SUM(G24,P24)</f>
        <v>15</v>
      </c>
      <c r="AA24" s="492">
        <f>SUM(I24,R24)</f>
        <v>15</v>
      </c>
      <c r="AB24" s="492">
        <f>SUM(K24,T24)</f>
        <v>15</v>
      </c>
      <c r="AC24" s="492">
        <f>SUM(M24,V24)</f>
        <v>0</v>
      </c>
      <c r="AD24" s="492">
        <f>SUM(G24:N24,P24:W24)</f>
        <v>75</v>
      </c>
      <c r="AE24" s="492">
        <f>SUM(O24,X24)</f>
        <v>3</v>
      </c>
    </row>
    <row r="25" spans="1:31" ht="32.25" customHeight="1">
      <c r="A25" s="786">
        <v>6.7</v>
      </c>
      <c r="B25" s="785" t="s">
        <v>68</v>
      </c>
      <c r="C25" s="500" t="str">
        <f>"0912-7LEK-C"&amp;A25&amp;"-"&amp;UPPER(LEFT(B25,1))</f>
        <v>0912-7LEK-C6,7-O</v>
      </c>
      <c r="D25" s="538">
        <v>9</v>
      </c>
      <c r="E25" s="537">
        <v>9</v>
      </c>
      <c r="F25" s="537"/>
      <c r="G25" s="768">
        <v>15</v>
      </c>
      <c r="H25" s="496">
        <v>15</v>
      </c>
      <c r="I25" s="768">
        <v>15</v>
      </c>
      <c r="J25" s="496">
        <v>15</v>
      </c>
      <c r="K25" s="768">
        <v>15</v>
      </c>
      <c r="L25" s="768"/>
      <c r="M25" s="495"/>
      <c r="N25" s="506"/>
      <c r="O25" s="495">
        <v>3</v>
      </c>
      <c r="P25" s="493"/>
      <c r="Q25" s="494"/>
      <c r="R25" s="493"/>
      <c r="S25" s="494"/>
      <c r="T25" s="493"/>
      <c r="U25" s="494"/>
      <c r="V25" s="493"/>
      <c r="W25" s="494"/>
      <c r="X25" s="493"/>
      <c r="Y25" s="492">
        <f>SUM(Z25:AC25)</f>
        <v>45</v>
      </c>
      <c r="Z25" s="492">
        <f>SUM(G25,P25)</f>
        <v>15</v>
      </c>
      <c r="AA25" s="492">
        <f>SUM(I25,R25)</f>
        <v>15</v>
      </c>
      <c r="AB25" s="492">
        <f>SUM(K25,T25)</f>
        <v>15</v>
      </c>
      <c r="AC25" s="492">
        <f>SUM(M25,V25)</f>
        <v>0</v>
      </c>
      <c r="AD25" s="492">
        <f>SUM(G25:N25,P25:W25)</f>
        <v>75</v>
      </c>
      <c r="AE25" s="492">
        <f>SUM(O25,X25)</f>
        <v>3</v>
      </c>
    </row>
    <row r="26" spans="1:31" ht="32.25" customHeight="1">
      <c r="A26" s="786">
        <v>6.8</v>
      </c>
      <c r="B26" s="789" t="s">
        <v>366</v>
      </c>
      <c r="C26" s="500" t="str">
        <f>"0912-7LEK-C"&amp;A26&amp;"-"&amp;UPPER(LEFT(B26,1))</f>
        <v>0912-7LEK-C6,8-M</v>
      </c>
      <c r="D26" s="538">
        <v>12</v>
      </c>
      <c r="E26" s="537">
        <v>10</v>
      </c>
      <c r="F26" s="537"/>
      <c r="G26" s="768">
        <v>15</v>
      </c>
      <c r="H26" s="496">
        <v>10</v>
      </c>
      <c r="I26" s="768">
        <v>10</v>
      </c>
      <c r="J26" s="496"/>
      <c r="K26" s="768">
        <v>15</v>
      </c>
      <c r="L26" s="768"/>
      <c r="M26" s="495"/>
      <c r="N26" s="506"/>
      <c r="O26" s="495">
        <v>2</v>
      </c>
      <c r="P26" s="787"/>
      <c r="Q26" s="787"/>
      <c r="R26" s="787"/>
      <c r="S26" s="787"/>
      <c r="T26" s="787"/>
      <c r="U26" s="494"/>
      <c r="V26" s="493"/>
      <c r="W26" s="494"/>
      <c r="X26" s="493"/>
      <c r="Y26" s="492">
        <f>SUM(Z26:AC26)</f>
        <v>40</v>
      </c>
      <c r="Z26" s="492">
        <f>SUM(G26,P26)</f>
        <v>15</v>
      </c>
      <c r="AA26" s="492">
        <f>SUM(I26,R26)</f>
        <v>10</v>
      </c>
      <c r="AB26" s="492">
        <f>SUM(K26,T26)</f>
        <v>15</v>
      </c>
      <c r="AC26" s="492">
        <f>SUM(M26,V26)</f>
        <v>0</v>
      </c>
      <c r="AD26" s="492">
        <f>SUM(G26:N26,P26:W26)</f>
        <v>50</v>
      </c>
      <c r="AE26" s="492">
        <f>SUM(O26,X26)</f>
        <v>2</v>
      </c>
    </row>
    <row r="27" spans="1:31" ht="32.25" customHeight="1">
      <c r="A27" s="786">
        <v>6.9</v>
      </c>
      <c r="B27" s="785" t="s">
        <v>70</v>
      </c>
      <c r="C27" s="500" t="str">
        <f>"0912-7LEK-C"&amp;A27&amp;"-"&amp;UPPER(LEFT(B27,1))</f>
        <v>0912-7LEK-C6,9-G</v>
      </c>
      <c r="D27" s="538">
        <v>12</v>
      </c>
      <c r="E27" s="537" t="s">
        <v>205</v>
      </c>
      <c r="F27" s="537"/>
      <c r="G27" s="768">
        <v>15</v>
      </c>
      <c r="H27" s="496">
        <v>10</v>
      </c>
      <c r="I27" s="768">
        <v>20</v>
      </c>
      <c r="J27" s="496">
        <v>10</v>
      </c>
      <c r="K27" s="768">
        <v>20</v>
      </c>
      <c r="L27" s="768"/>
      <c r="M27" s="495"/>
      <c r="N27" s="506"/>
      <c r="O27" s="495">
        <v>3</v>
      </c>
      <c r="P27" s="493">
        <v>15</v>
      </c>
      <c r="Q27" s="494">
        <v>10</v>
      </c>
      <c r="R27" s="493">
        <v>15</v>
      </c>
      <c r="S27" s="494">
        <v>10</v>
      </c>
      <c r="T27" s="493">
        <v>25</v>
      </c>
      <c r="U27" s="494"/>
      <c r="V27" s="493"/>
      <c r="W27" s="494"/>
      <c r="X27" s="493">
        <v>3</v>
      </c>
      <c r="Y27" s="492">
        <f>SUM(Z27:AC27)</f>
        <v>110</v>
      </c>
      <c r="Z27" s="492">
        <f>SUM(G27,P27)</f>
        <v>30</v>
      </c>
      <c r="AA27" s="492">
        <f>SUM(I27,R27)</f>
        <v>35</v>
      </c>
      <c r="AB27" s="492">
        <f>SUM(K27,T27)</f>
        <v>45</v>
      </c>
      <c r="AC27" s="492">
        <f>SUM(M27,V27)</f>
        <v>0</v>
      </c>
      <c r="AD27" s="492">
        <f>SUM(G27:N27,P27:W27)</f>
        <v>150</v>
      </c>
      <c r="AE27" s="492">
        <f>SUM(O27,X27)</f>
        <v>6</v>
      </c>
    </row>
    <row r="28" spans="1:31" ht="32.25" customHeight="1">
      <c r="A28" s="766" t="s">
        <v>258</v>
      </c>
      <c r="B28" s="785" t="s">
        <v>71</v>
      </c>
      <c r="C28" s="500" t="str">
        <f>"0912-7LEK-C"&amp;A28&amp;"-"&amp;UPPER(LEFT(B28,1))</f>
        <v>0912-7LEK-C6.10-O</v>
      </c>
      <c r="D28" s="538">
        <v>10</v>
      </c>
      <c r="E28" s="537">
        <v>10</v>
      </c>
      <c r="F28" s="537"/>
      <c r="G28" s="768"/>
      <c r="H28" s="506"/>
      <c r="I28" s="495"/>
      <c r="J28" s="506"/>
      <c r="K28" s="768"/>
      <c r="L28" s="768"/>
      <c r="M28" s="495"/>
      <c r="N28" s="506"/>
      <c r="O28" s="495"/>
      <c r="P28" s="493">
        <v>15</v>
      </c>
      <c r="Q28" s="494">
        <v>10</v>
      </c>
      <c r="R28" s="493">
        <v>10</v>
      </c>
      <c r="S28" s="494"/>
      <c r="T28" s="493">
        <v>15</v>
      </c>
      <c r="U28" s="494"/>
      <c r="V28" s="493"/>
      <c r="W28" s="494"/>
      <c r="X28" s="493">
        <v>2</v>
      </c>
      <c r="Y28" s="492">
        <f>SUM(Z28:AC28)</f>
        <v>40</v>
      </c>
      <c r="Z28" s="492">
        <f>SUM(G28,P28)</f>
        <v>15</v>
      </c>
      <c r="AA28" s="492">
        <f>SUM(I28,R28)</f>
        <v>10</v>
      </c>
      <c r="AB28" s="492">
        <f>SUM(K28,T28)</f>
        <v>15</v>
      </c>
      <c r="AC28" s="492">
        <f>SUM(M28,V28)</f>
        <v>0</v>
      </c>
      <c r="AD28" s="492">
        <f>SUM(G28:N28,P28:W28)</f>
        <v>50</v>
      </c>
      <c r="AE28" s="492">
        <f>SUM(O28,X28)</f>
        <v>2</v>
      </c>
    </row>
    <row r="29" spans="1:31" ht="32.25" customHeight="1">
      <c r="A29" s="788">
        <v>6.12</v>
      </c>
      <c r="B29" s="785" t="s">
        <v>73</v>
      </c>
      <c r="C29" s="500" t="str">
        <f>"0912-7LEK-C"&amp;A29&amp;"-"&amp;UPPER(LEFT(B29,1))</f>
        <v>0912-7LEK-C6,12-T</v>
      </c>
      <c r="D29" s="538">
        <v>9</v>
      </c>
      <c r="E29" s="537">
        <v>9</v>
      </c>
      <c r="F29" s="537"/>
      <c r="G29" s="495">
        <v>15</v>
      </c>
      <c r="H29" s="506">
        <v>10</v>
      </c>
      <c r="I29" s="495"/>
      <c r="J29" s="506"/>
      <c r="K29" s="495"/>
      <c r="L29" s="506"/>
      <c r="M29" s="495"/>
      <c r="N29" s="506"/>
      <c r="O29" s="495">
        <v>1</v>
      </c>
      <c r="P29" s="493"/>
      <c r="Q29" s="494"/>
      <c r="R29" s="493"/>
      <c r="S29" s="494"/>
      <c r="T29" s="493"/>
      <c r="U29" s="494"/>
      <c r="V29" s="493"/>
      <c r="W29" s="494"/>
      <c r="X29" s="493"/>
      <c r="Y29" s="492">
        <f>SUM(Z29:AC29)</f>
        <v>15</v>
      </c>
      <c r="Z29" s="492">
        <f>SUM(G29,P29)</f>
        <v>15</v>
      </c>
      <c r="AA29" s="492">
        <f>SUM(I29,R29)</f>
        <v>0</v>
      </c>
      <c r="AB29" s="492">
        <f>SUM(K29,T29)</f>
        <v>0</v>
      </c>
      <c r="AC29" s="492">
        <f>SUM(M29,V29)</f>
        <v>0</v>
      </c>
      <c r="AD29" s="492">
        <f>SUM(G29:N29,P29:W29)</f>
        <v>25</v>
      </c>
      <c r="AE29" s="492">
        <f>SUM(O29,X29)</f>
        <v>1</v>
      </c>
    </row>
    <row r="30" spans="1:31" ht="32.25" customHeight="1">
      <c r="A30" s="788">
        <v>6.11</v>
      </c>
      <c r="B30" s="785" t="s">
        <v>72</v>
      </c>
      <c r="C30" s="500" t="str">
        <f>"0912-7LEK-C"&amp;A30&amp;"-"&amp;UPPER(LEFT(B30,1))</f>
        <v>0912-7LEK-C6,11-N</v>
      </c>
      <c r="D30" s="538">
        <v>10</v>
      </c>
      <c r="E30" s="537">
        <v>10</v>
      </c>
      <c r="F30" s="537"/>
      <c r="G30" s="495"/>
      <c r="H30" s="506"/>
      <c r="I30" s="495"/>
      <c r="J30" s="506"/>
      <c r="K30" s="495"/>
      <c r="L30" s="506"/>
      <c r="M30" s="495"/>
      <c r="N30" s="506"/>
      <c r="O30" s="495"/>
      <c r="P30" s="493">
        <v>15</v>
      </c>
      <c r="Q30" s="494">
        <v>5</v>
      </c>
      <c r="R30" s="493">
        <v>15</v>
      </c>
      <c r="S30" s="494"/>
      <c r="T30" s="493">
        <v>15</v>
      </c>
      <c r="U30" s="494"/>
      <c r="V30" s="493"/>
      <c r="W30" s="494"/>
      <c r="X30" s="493">
        <v>2</v>
      </c>
      <c r="Y30" s="492">
        <f>SUM(Z30:AC30)</f>
        <v>45</v>
      </c>
      <c r="Z30" s="492">
        <f>SUM(G30,P30)</f>
        <v>15</v>
      </c>
      <c r="AA30" s="492">
        <f>SUM(I30,R30)</f>
        <v>15</v>
      </c>
      <c r="AB30" s="492">
        <f>SUM(K30,T30)</f>
        <v>15</v>
      </c>
      <c r="AC30" s="492">
        <f>SUM(M30,V30)</f>
        <v>0</v>
      </c>
      <c r="AD30" s="492">
        <f>SUM(G30:N30,P30:W30)</f>
        <v>50</v>
      </c>
      <c r="AE30" s="492">
        <f>SUM(O30,X30)</f>
        <v>2</v>
      </c>
    </row>
    <row r="31" spans="1:31" ht="15.75">
      <c r="A31" s="667" t="s">
        <v>9</v>
      </c>
      <c r="B31" s="668"/>
      <c r="C31" s="668"/>
      <c r="D31" s="668"/>
      <c r="E31" s="668"/>
      <c r="F31" s="669"/>
      <c r="G31" s="503">
        <f>SUM(G20:G30)</f>
        <v>105</v>
      </c>
      <c r="H31" s="504">
        <f>SUM(H20:H30)</f>
        <v>75</v>
      </c>
      <c r="I31" s="503">
        <f>SUM(I20:I30)</f>
        <v>90</v>
      </c>
      <c r="J31" s="504">
        <f>SUM(J20:J30)</f>
        <v>55</v>
      </c>
      <c r="K31" s="503">
        <f>SUM(K20:K30)</f>
        <v>125</v>
      </c>
      <c r="L31" s="504">
        <f>SUM(L20:L30)</f>
        <v>0</v>
      </c>
      <c r="M31" s="503">
        <f>SUM(M20:M30)</f>
        <v>0</v>
      </c>
      <c r="N31" s="504">
        <f>SUM(N20:N30)</f>
        <v>0</v>
      </c>
      <c r="O31" s="503">
        <f>SUM(O20:O30)</f>
        <v>18</v>
      </c>
      <c r="P31" s="503">
        <f>SUM(P20:P30)</f>
        <v>90</v>
      </c>
      <c r="Q31" s="504">
        <f>SUM(Q20:Q30)</f>
        <v>55</v>
      </c>
      <c r="R31" s="503">
        <f>SUM(R20:R30)</f>
        <v>80</v>
      </c>
      <c r="S31" s="504">
        <f>SUM(S20:S30)</f>
        <v>35</v>
      </c>
      <c r="T31" s="503">
        <f>SUM(T20:T30)</f>
        <v>115</v>
      </c>
      <c r="U31" s="504">
        <f>SUM(U20:U30)</f>
        <v>0</v>
      </c>
      <c r="V31" s="503">
        <f>SUM(V20:V30)</f>
        <v>0</v>
      </c>
      <c r="W31" s="504">
        <f>SUM(W20:W30)</f>
        <v>0</v>
      </c>
      <c r="X31" s="503">
        <f>SUM(X20:X30)</f>
        <v>15</v>
      </c>
      <c r="Y31" s="503">
        <f>SUM(Y20:Y30)</f>
        <v>605</v>
      </c>
      <c r="Z31" s="503">
        <f>SUM(Z20:Z30)</f>
        <v>195</v>
      </c>
      <c r="AA31" s="503">
        <f>SUM(AA20:AA30)</f>
        <v>170</v>
      </c>
      <c r="AB31" s="503">
        <f>SUM(AB20:AB30)</f>
        <v>240</v>
      </c>
      <c r="AC31" s="503">
        <f>SUM(AC20:AC30)</f>
        <v>0</v>
      </c>
      <c r="AD31" s="503">
        <f>SUM(AD20:AD30)</f>
        <v>825</v>
      </c>
      <c r="AE31" s="503">
        <f>SUM(AE20:AE30)</f>
        <v>33</v>
      </c>
    </row>
    <row r="32" spans="1:31" ht="21.75" customHeight="1">
      <c r="A32" s="518" t="s">
        <v>27</v>
      </c>
      <c r="B32" s="517"/>
      <c r="C32" s="516"/>
      <c r="D32" s="517"/>
      <c r="E32" s="517"/>
      <c r="F32" s="517"/>
      <c r="G32" s="513"/>
      <c r="H32" s="513"/>
      <c r="I32" s="513"/>
      <c r="J32" s="513"/>
      <c r="K32" s="513"/>
      <c r="L32" s="513"/>
      <c r="M32" s="513"/>
      <c r="N32" s="513"/>
      <c r="O32" s="513"/>
      <c r="P32" s="513"/>
      <c r="Q32" s="513"/>
      <c r="R32" s="513"/>
      <c r="S32" s="513"/>
      <c r="T32" s="513"/>
      <c r="U32" s="513"/>
      <c r="V32" s="513"/>
      <c r="W32" s="513"/>
      <c r="X32" s="513"/>
      <c r="Y32" s="513"/>
      <c r="Z32" s="513"/>
      <c r="AA32" s="513"/>
      <c r="AB32" s="513"/>
      <c r="AC32" s="513"/>
      <c r="AD32" s="513"/>
      <c r="AE32" s="512"/>
    </row>
    <row r="33" spans="1:31" ht="31.5" customHeight="1">
      <c r="A33" s="786">
        <v>7.4</v>
      </c>
      <c r="B33" s="785" t="s">
        <v>78</v>
      </c>
      <c r="C33" s="500" t="str">
        <f>"0912-7LEK-B"&amp;A33&amp;"-"&amp;UPPER(LEFT(B33,1))</f>
        <v>0912-7LEK-B7,4-P</v>
      </c>
      <c r="D33" s="538"/>
      <c r="E33" s="537">
        <v>9</v>
      </c>
      <c r="F33" s="537"/>
      <c r="G33" s="495">
        <v>15</v>
      </c>
      <c r="H33" s="506">
        <v>10</v>
      </c>
      <c r="I33" s="495"/>
      <c r="J33" s="506"/>
      <c r="K33" s="495"/>
      <c r="L33" s="506"/>
      <c r="M33" s="495"/>
      <c r="N33" s="506"/>
      <c r="O33" s="495">
        <v>1</v>
      </c>
      <c r="P33" s="493"/>
      <c r="Q33" s="494"/>
      <c r="R33" s="493"/>
      <c r="S33" s="494"/>
      <c r="T33" s="493"/>
      <c r="U33" s="494"/>
      <c r="V33" s="493"/>
      <c r="W33" s="494"/>
      <c r="X33" s="493"/>
      <c r="Y33" s="492">
        <f>SUM(Z33:AC33)</f>
        <v>15</v>
      </c>
      <c r="Z33" s="492">
        <f>SUM(G33,P33)</f>
        <v>15</v>
      </c>
      <c r="AA33" s="492">
        <f>SUM(I33,R33)</f>
        <v>0</v>
      </c>
      <c r="AB33" s="492">
        <f>SUM(K33,T33)</f>
        <v>0</v>
      </c>
      <c r="AC33" s="492">
        <f>SUM(M33,V33)</f>
        <v>0</v>
      </c>
      <c r="AD33" s="492">
        <f>SUM(G33:N33,P33:W33)</f>
        <v>25</v>
      </c>
      <c r="AE33" s="492">
        <f>SUM(O33,X33)</f>
        <v>1</v>
      </c>
    </row>
    <row r="34" spans="1:31" ht="31.5" customHeight="1">
      <c r="A34" s="786">
        <v>7.5</v>
      </c>
      <c r="B34" s="785" t="s">
        <v>79</v>
      </c>
      <c r="C34" s="500" t="str">
        <f>"0912-7LEK-B"&amp;A34&amp;"-"&amp;UPPER(LEFT(B34,1))</f>
        <v>0912-7LEK-B7,5-M</v>
      </c>
      <c r="D34" s="538">
        <v>10</v>
      </c>
      <c r="E34" s="537">
        <v>10</v>
      </c>
      <c r="F34" s="537"/>
      <c r="G34" s="495"/>
      <c r="H34" s="506"/>
      <c r="I34" s="495"/>
      <c r="J34" s="506"/>
      <c r="K34" s="768"/>
      <c r="L34" s="506"/>
      <c r="M34" s="495"/>
      <c r="N34" s="506"/>
      <c r="O34" s="495"/>
      <c r="P34" s="773">
        <v>20</v>
      </c>
      <c r="Q34" s="772">
        <v>5</v>
      </c>
      <c r="R34" s="773">
        <v>15</v>
      </c>
      <c r="S34" s="772">
        <v>5</v>
      </c>
      <c r="T34" s="773">
        <v>5</v>
      </c>
      <c r="U34" s="787"/>
      <c r="V34" s="493"/>
      <c r="W34" s="494"/>
      <c r="X34" s="493">
        <v>2</v>
      </c>
      <c r="Y34" s="492">
        <f>SUM(Z34:AC34)</f>
        <v>40</v>
      </c>
      <c r="Z34" s="492">
        <f>SUM(G34,P34)</f>
        <v>20</v>
      </c>
      <c r="AA34" s="492">
        <f>SUM(I34,R34)</f>
        <v>15</v>
      </c>
      <c r="AB34" s="492">
        <f>SUM(K34,T34)</f>
        <v>5</v>
      </c>
      <c r="AC34" s="492">
        <f>SUM(M34,V34)</f>
        <v>0</v>
      </c>
      <c r="AD34" s="492">
        <f>SUM(G34:N34,P34:W34)</f>
        <v>50</v>
      </c>
      <c r="AE34" s="492">
        <f>SUM(O34,X34)</f>
        <v>2</v>
      </c>
    </row>
    <row r="35" spans="1:31" ht="15.75">
      <c r="A35" s="667" t="s">
        <v>9</v>
      </c>
      <c r="B35" s="668"/>
      <c r="C35" s="668"/>
      <c r="D35" s="668"/>
      <c r="E35" s="668"/>
      <c r="F35" s="669"/>
      <c r="G35" s="503">
        <f>SUM(G33:G34)</f>
        <v>15</v>
      </c>
      <c r="H35" s="504">
        <f>SUM(H33:H34)</f>
        <v>10</v>
      </c>
      <c r="I35" s="503">
        <f>SUM(I33:I34)</f>
        <v>0</v>
      </c>
      <c r="J35" s="504">
        <f>SUM(J33:J34)</f>
        <v>0</v>
      </c>
      <c r="K35" s="503">
        <f>SUM(K33:K34)</f>
        <v>0</v>
      </c>
      <c r="L35" s="504">
        <f>SUM(L33:L34)</f>
        <v>0</v>
      </c>
      <c r="M35" s="503">
        <f>SUM(M33:M34)</f>
        <v>0</v>
      </c>
      <c r="N35" s="504">
        <f>SUM(N33:N34)</f>
        <v>0</v>
      </c>
      <c r="O35" s="503">
        <f>SUM(O33:O34)</f>
        <v>1</v>
      </c>
      <c r="P35" s="503">
        <f>SUM(P33:P34)</f>
        <v>20</v>
      </c>
      <c r="Q35" s="504">
        <f>SUM(Q33:Q34)</f>
        <v>5</v>
      </c>
      <c r="R35" s="503">
        <f>SUM(R33:R34)</f>
        <v>15</v>
      </c>
      <c r="S35" s="504">
        <f>SUM(S33:S34)</f>
        <v>5</v>
      </c>
      <c r="T35" s="503">
        <f>SUM(T33:T34)</f>
        <v>5</v>
      </c>
      <c r="U35" s="504">
        <f>SUM(U33:U34)</f>
        <v>0</v>
      </c>
      <c r="V35" s="503">
        <f>SUM(V33:V34)</f>
        <v>0</v>
      </c>
      <c r="W35" s="504">
        <f>SUM(W33:W34)</f>
        <v>0</v>
      </c>
      <c r="X35" s="503">
        <f>SUM(X33:X34)</f>
        <v>2</v>
      </c>
      <c r="Y35" s="503">
        <f>SUM(Y33:Y34)</f>
        <v>55</v>
      </c>
      <c r="Z35" s="503">
        <f>SUM(Z33:Z34)</f>
        <v>35</v>
      </c>
      <c r="AA35" s="503">
        <f>SUM(AA33:AA34)</f>
        <v>15</v>
      </c>
      <c r="AB35" s="503">
        <f>SUM(AB33:AB34)</f>
        <v>5</v>
      </c>
      <c r="AC35" s="503">
        <f>SUM(AC33:AC34)</f>
        <v>0</v>
      </c>
      <c r="AD35" s="503">
        <f>SUM(AD33:AD34)</f>
        <v>75</v>
      </c>
      <c r="AE35" s="503">
        <f>SUM(AE33:AE34)</f>
        <v>3</v>
      </c>
    </row>
    <row r="36" spans="1:31" ht="19.5" customHeight="1">
      <c r="A36" s="518" t="s">
        <v>29</v>
      </c>
      <c r="B36" s="517"/>
      <c r="C36" s="516"/>
      <c r="D36" s="517"/>
      <c r="E36" s="517"/>
      <c r="F36" s="517"/>
      <c r="G36" s="513"/>
      <c r="H36" s="513"/>
      <c r="I36" s="513"/>
      <c r="J36" s="513"/>
      <c r="K36" s="513"/>
      <c r="L36" s="513"/>
      <c r="M36" s="513"/>
      <c r="N36" s="513"/>
      <c r="O36" s="513"/>
      <c r="P36" s="513"/>
      <c r="Q36" s="513"/>
      <c r="R36" s="513"/>
      <c r="S36" s="513"/>
      <c r="T36" s="513"/>
      <c r="U36" s="513"/>
      <c r="V36" s="513"/>
      <c r="W36" s="513"/>
      <c r="X36" s="513"/>
      <c r="Y36" s="513"/>
      <c r="Z36" s="513"/>
      <c r="AA36" s="513"/>
      <c r="AB36" s="513"/>
      <c r="AC36" s="513"/>
      <c r="AD36" s="513"/>
      <c r="AE36" s="512"/>
    </row>
    <row r="37" spans="1:31" ht="33.75" customHeight="1">
      <c r="A37" s="786">
        <v>9.6999999999999993</v>
      </c>
      <c r="B37" s="785" t="s">
        <v>81</v>
      </c>
      <c r="C37" s="500" t="str">
        <f>"0912-7LEK-C"&amp;A37&amp;"-"&amp;UPPER(LEFT(B37,1))</f>
        <v>0912-7LEK-C9,7-C</v>
      </c>
      <c r="D37" s="538"/>
      <c r="E37" s="537">
        <v>10</v>
      </c>
      <c r="F37" s="537"/>
      <c r="G37" s="495"/>
      <c r="H37" s="506"/>
      <c r="I37" s="495"/>
      <c r="J37" s="506"/>
      <c r="K37" s="495"/>
      <c r="L37" s="506"/>
      <c r="M37" s="495"/>
      <c r="N37" s="506"/>
      <c r="O37" s="495"/>
      <c r="P37" s="493"/>
      <c r="Q37" s="494"/>
      <c r="R37" s="493">
        <v>60</v>
      </c>
      <c r="S37" s="494"/>
      <c r="T37" s="493"/>
      <c r="U37" s="494"/>
      <c r="V37" s="493"/>
      <c r="W37" s="494"/>
      <c r="X37" s="493">
        <v>2</v>
      </c>
      <c r="Y37" s="492">
        <f>SUM(Z37:AC37)</f>
        <v>60</v>
      </c>
      <c r="Z37" s="492">
        <f>SUM(G37,P37)</f>
        <v>0</v>
      </c>
      <c r="AA37" s="492">
        <f>SUM(I37,R37)</f>
        <v>60</v>
      </c>
      <c r="AB37" s="492">
        <f>SUM(K37,T37)</f>
        <v>0</v>
      </c>
      <c r="AC37" s="492">
        <f>SUM(M37,V37)</f>
        <v>0</v>
      </c>
      <c r="AD37" s="492">
        <f>SUM(G37:N37,P37:W37)</f>
        <v>60</v>
      </c>
      <c r="AE37" s="492">
        <f>SUM(O37,X37)</f>
        <v>2</v>
      </c>
    </row>
    <row r="38" spans="1:31" ht="33.75" customHeight="1">
      <c r="A38" s="786">
        <v>9.8000000000000007</v>
      </c>
      <c r="B38" s="785" t="s">
        <v>70</v>
      </c>
      <c r="C38" s="500" t="str">
        <f>"0912-7LEK-C"&amp;A38&amp;"-"&amp;UPPER(LEFT(B38,1))</f>
        <v>0912-7LEK-C9,8-G</v>
      </c>
      <c r="D38" s="538"/>
      <c r="E38" s="537">
        <v>10</v>
      </c>
      <c r="F38" s="537"/>
      <c r="G38" s="495"/>
      <c r="H38" s="506"/>
      <c r="I38" s="495"/>
      <c r="J38" s="506"/>
      <c r="K38" s="495"/>
      <c r="L38" s="506"/>
      <c r="M38" s="495"/>
      <c r="N38" s="506"/>
      <c r="O38" s="495"/>
      <c r="P38" s="493"/>
      <c r="Q38" s="494"/>
      <c r="R38" s="493">
        <v>60</v>
      </c>
      <c r="S38" s="494"/>
      <c r="T38" s="493"/>
      <c r="U38" s="494"/>
      <c r="V38" s="493"/>
      <c r="W38" s="494"/>
      <c r="X38" s="493">
        <v>2</v>
      </c>
      <c r="Y38" s="492">
        <f>SUM(Z38:AC38)</f>
        <v>60</v>
      </c>
      <c r="Z38" s="492">
        <f>SUM(G38,P38)</f>
        <v>0</v>
      </c>
      <c r="AA38" s="492">
        <f>SUM(I38,R38)</f>
        <v>60</v>
      </c>
      <c r="AB38" s="492">
        <f>SUM(K38,T38)</f>
        <v>0</v>
      </c>
      <c r="AC38" s="492">
        <f>SUM(M38,V38)</f>
        <v>0</v>
      </c>
      <c r="AD38" s="492">
        <f>SUM(G38:N38,P38:W38)</f>
        <v>60</v>
      </c>
      <c r="AE38" s="492">
        <f>SUM(O38,X38)</f>
        <v>2</v>
      </c>
    </row>
    <row r="39" spans="1:31" ht="20.25" customHeight="1">
      <c r="A39" s="667" t="s">
        <v>9</v>
      </c>
      <c r="B39" s="668"/>
      <c r="C39" s="668"/>
      <c r="D39" s="668"/>
      <c r="E39" s="668"/>
      <c r="F39" s="669"/>
      <c r="G39" s="503">
        <f>SUM(G37:G38)</f>
        <v>0</v>
      </c>
      <c r="H39" s="504">
        <f>SUM(H37:H38)</f>
        <v>0</v>
      </c>
      <c r="I39" s="503">
        <f>SUM(I37:I38)</f>
        <v>0</v>
      </c>
      <c r="J39" s="504">
        <f>SUM(J37:J38)</f>
        <v>0</v>
      </c>
      <c r="K39" s="503">
        <f>SUM(K37:K38)</f>
        <v>0</v>
      </c>
      <c r="L39" s="504">
        <f>SUM(L37:L38)</f>
        <v>0</v>
      </c>
      <c r="M39" s="503">
        <f>SUM(M37:M38)</f>
        <v>0</v>
      </c>
      <c r="N39" s="504">
        <f>SUM(N37:N38)</f>
        <v>0</v>
      </c>
      <c r="O39" s="503">
        <f>SUM(O37:O38)</f>
        <v>0</v>
      </c>
      <c r="P39" s="503">
        <f>SUM(P37:P38)</f>
        <v>0</v>
      </c>
      <c r="Q39" s="504">
        <f>SUM(Q37:Q38)</f>
        <v>0</v>
      </c>
      <c r="R39" s="503">
        <f>SUM(R37:R38)</f>
        <v>120</v>
      </c>
      <c r="S39" s="504">
        <f>SUM(S37:S38)</f>
        <v>0</v>
      </c>
      <c r="T39" s="503">
        <f>SUM(T37:T38)</f>
        <v>0</v>
      </c>
      <c r="U39" s="504">
        <f>SUM(U37:U38)</f>
        <v>0</v>
      </c>
      <c r="V39" s="503">
        <f>SUM(V37:V38)</f>
        <v>0</v>
      </c>
      <c r="W39" s="504">
        <f>SUM(W37:W38)</f>
        <v>0</v>
      </c>
      <c r="X39" s="503">
        <f>SUM(X37:X38)</f>
        <v>4</v>
      </c>
      <c r="Y39" s="503">
        <f>SUM(Y37:Y38)</f>
        <v>120</v>
      </c>
      <c r="Z39" s="503">
        <f>SUM(Z37:Z38)</f>
        <v>0</v>
      </c>
      <c r="AA39" s="503">
        <f>SUM(AA37:AA38)</f>
        <v>120</v>
      </c>
      <c r="AB39" s="503">
        <f>SUM(AB37:AB38)</f>
        <v>0</v>
      </c>
      <c r="AC39" s="503">
        <f>SUM(AC37:AC38)</f>
        <v>0</v>
      </c>
      <c r="AD39" s="503">
        <f>SUM(AD37:AD38)</f>
        <v>120</v>
      </c>
      <c r="AE39" s="503">
        <f>SUM(AE37:AE38)</f>
        <v>4</v>
      </c>
    </row>
    <row r="40" spans="1:31" ht="20.25" customHeight="1">
      <c r="A40" s="518" t="s">
        <v>311</v>
      </c>
      <c r="B40" s="517"/>
      <c r="C40" s="516"/>
      <c r="D40" s="515"/>
      <c r="E40" s="515"/>
      <c r="F40" s="515"/>
      <c r="G40" s="513"/>
      <c r="H40" s="513"/>
      <c r="I40" s="513"/>
      <c r="J40" s="513"/>
      <c r="K40" s="513"/>
      <c r="L40" s="514"/>
      <c r="M40" s="513"/>
      <c r="N40" s="513"/>
      <c r="O40" s="513"/>
      <c r="P40" s="513"/>
      <c r="Q40" s="513"/>
      <c r="R40" s="513"/>
      <c r="S40" s="513"/>
      <c r="T40" s="513"/>
      <c r="U40" s="513"/>
      <c r="V40" s="513"/>
      <c r="W40" s="513"/>
      <c r="X40" s="513"/>
      <c r="Y40" s="513"/>
      <c r="Z40" s="513"/>
      <c r="AA40" s="513"/>
      <c r="AB40" s="513"/>
      <c r="AC40" s="513"/>
      <c r="AD40" s="513"/>
      <c r="AE40" s="512"/>
    </row>
    <row r="41" spans="1:31" ht="30" customHeight="1">
      <c r="A41" s="511">
        <v>11.3</v>
      </c>
      <c r="B41" s="510" t="s">
        <v>109</v>
      </c>
      <c r="C41" s="500" t="str">
        <f>"0912-7LEK-A"&amp;A41&amp;"-"&amp;UPPER(LEFT(B41,1))&amp;"F"</f>
        <v>0912-7LEK-A11,3-WF</v>
      </c>
      <c r="D41" s="538"/>
      <c r="E41" s="536"/>
      <c r="F41" s="537" t="s">
        <v>123</v>
      </c>
      <c r="G41" s="495"/>
      <c r="H41" s="506"/>
      <c r="I41" s="495">
        <v>15</v>
      </c>
      <c r="J41" s="506"/>
      <c r="K41" s="495"/>
      <c r="L41" s="506"/>
      <c r="M41" s="495"/>
      <c r="N41" s="506"/>
      <c r="O41" s="495">
        <v>0</v>
      </c>
      <c r="P41" s="493"/>
      <c r="Q41" s="494"/>
      <c r="R41" s="493">
        <v>15</v>
      </c>
      <c r="S41" s="494"/>
      <c r="T41" s="493"/>
      <c r="U41" s="494"/>
      <c r="V41" s="493"/>
      <c r="W41" s="494"/>
      <c r="X41" s="493">
        <v>0</v>
      </c>
      <c r="Y41" s="505">
        <f>SUM(Z41:AC41)</f>
        <v>30</v>
      </c>
      <c r="Z41" s="505">
        <f>SUM(G41,P41)</f>
        <v>0</v>
      </c>
      <c r="AA41" s="505">
        <f>SUM(I41,R41)</f>
        <v>30</v>
      </c>
      <c r="AB41" s="505">
        <f>SUM(K41,T41)</f>
        <v>0</v>
      </c>
      <c r="AC41" s="505">
        <f>SUM(M41,V41)</f>
        <v>0</v>
      </c>
      <c r="AD41" s="505">
        <f>SUM(G41:N41,P41:W41)</f>
        <v>30</v>
      </c>
      <c r="AE41" s="505">
        <f>SUM(O41,X41)</f>
        <v>0</v>
      </c>
    </row>
    <row r="42" spans="1:31" ht="20.25" customHeight="1">
      <c r="A42" s="667" t="s">
        <v>9</v>
      </c>
      <c r="B42" s="668"/>
      <c r="C42" s="668"/>
      <c r="D42" s="668"/>
      <c r="E42" s="668"/>
      <c r="F42" s="669"/>
      <c r="G42" s="503">
        <f>SUM(G41:G41)</f>
        <v>0</v>
      </c>
      <c r="H42" s="504">
        <f>SUM(H41:H41)</f>
        <v>0</v>
      </c>
      <c r="I42" s="503">
        <f>SUM(I41:I41)</f>
        <v>15</v>
      </c>
      <c r="J42" s="504">
        <f>SUM(J41:J41)</f>
        <v>0</v>
      </c>
      <c r="K42" s="503">
        <f>SUM(K41:K41)</f>
        <v>0</v>
      </c>
      <c r="L42" s="504">
        <f>SUM(L41:L41)</f>
        <v>0</v>
      </c>
      <c r="M42" s="503">
        <f>SUM(M41:M41)</f>
        <v>0</v>
      </c>
      <c r="N42" s="504">
        <f>SUM(N41:N41)</f>
        <v>0</v>
      </c>
      <c r="O42" s="503">
        <f>SUM(O41:O41)</f>
        <v>0</v>
      </c>
      <c r="P42" s="503">
        <f>SUM(P41:P41)</f>
        <v>0</v>
      </c>
      <c r="Q42" s="504">
        <f>SUM(Q41:Q41)</f>
        <v>0</v>
      </c>
      <c r="R42" s="503">
        <f>SUM(R41:R41)</f>
        <v>15</v>
      </c>
      <c r="S42" s="504">
        <f>SUM(S41:S41)</f>
        <v>0</v>
      </c>
      <c r="T42" s="503">
        <f>SUM(T41:T41)</f>
        <v>0</v>
      </c>
      <c r="U42" s="504">
        <f>SUM(U41:U41)</f>
        <v>0</v>
      </c>
      <c r="V42" s="503">
        <f>SUM(V41:V41)</f>
        <v>0</v>
      </c>
      <c r="W42" s="504">
        <f>SUM(W41:W41)</f>
        <v>0</v>
      </c>
      <c r="X42" s="503">
        <f>SUM(X41:X41)</f>
        <v>0</v>
      </c>
      <c r="Y42" s="503">
        <f>SUM(Y41:Y41)</f>
        <v>30</v>
      </c>
      <c r="Z42" s="503">
        <f>SUM(Z41:Z41)</f>
        <v>0</v>
      </c>
      <c r="AA42" s="503">
        <f>SUM(AA41:AA41)</f>
        <v>30</v>
      </c>
      <c r="AB42" s="503">
        <f>SUM(AB41:AB41)</f>
        <v>0</v>
      </c>
      <c r="AC42" s="503">
        <f>SUM(AC41:AC41)</f>
        <v>0</v>
      </c>
      <c r="AD42" s="503">
        <f>SUM(AD41:AD41)</f>
        <v>30</v>
      </c>
      <c r="AE42" s="503">
        <f>SUM(AE41:AE41)</f>
        <v>0</v>
      </c>
    </row>
    <row r="43" spans="1:31" ht="22.5" customHeight="1">
      <c r="A43" s="518" t="s">
        <v>315</v>
      </c>
      <c r="B43" s="517"/>
      <c r="C43" s="516"/>
      <c r="D43" s="517"/>
      <c r="E43" s="517"/>
      <c r="F43" s="517"/>
      <c r="G43" s="513"/>
      <c r="H43" s="513"/>
      <c r="I43" s="513"/>
      <c r="J43" s="513"/>
      <c r="K43" s="513"/>
      <c r="L43" s="513"/>
      <c r="M43" s="513"/>
      <c r="N43" s="513"/>
      <c r="O43" s="513"/>
      <c r="P43" s="513"/>
      <c r="Q43" s="513"/>
      <c r="R43" s="513"/>
      <c r="S43" s="513"/>
      <c r="T43" s="513"/>
      <c r="U43" s="513"/>
      <c r="V43" s="513"/>
      <c r="W43" s="514"/>
      <c r="X43" s="513"/>
      <c r="Y43" s="513"/>
      <c r="Z43" s="513"/>
      <c r="AA43" s="513"/>
      <c r="AB43" s="513"/>
      <c r="AC43" s="513"/>
      <c r="AD43" s="513"/>
      <c r="AE43" s="512"/>
    </row>
    <row r="44" spans="1:31" ht="30" customHeight="1">
      <c r="A44" s="766" t="s">
        <v>152</v>
      </c>
      <c r="B44" s="646" t="s">
        <v>118</v>
      </c>
      <c r="C44" s="650"/>
      <c r="D44" s="647"/>
      <c r="E44" s="537">
        <v>9</v>
      </c>
      <c r="F44" s="537"/>
      <c r="G44" s="768">
        <v>10</v>
      </c>
      <c r="H44" s="496">
        <v>15</v>
      </c>
      <c r="I44" s="768">
        <v>15</v>
      </c>
      <c r="J44" s="496">
        <v>10</v>
      </c>
      <c r="K44" s="764"/>
      <c r="L44" s="506"/>
      <c r="M44" s="764"/>
      <c r="N44" s="506"/>
      <c r="O44" s="764">
        <v>2</v>
      </c>
      <c r="P44" s="763"/>
      <c r="Q44" s="494"/>
      <c r="R44" s="763"/>
      <c r="S44" s="494"/>
      <c r="T44" s="763"/>
      <c r="U44" s="494"/>
      <c r="V44" s="763"/>
      <c r="W44" s="494"/>
      <c r="X44" s="763"/>
      <c r="Y44" s="492">
        <f>SUM(Z44:AC44)</f>
        <v>25</v>
      </c>
      <c r="Z44" s="492">
        <f>SUM(G44,P44)</f>
        <v>10</v>
      </c>
      <c r="AA44" s="492">
        <f>SUM(I44,R44)</f>
        <v>15</v>
      </c>
      <c r="AB44" s="492">
        <f>SUM(K44,T44)</f>
        <v>0</v>
      </c>
      <c r="AC44" s="492">
        <f>SUM(M44,V44)</f>
        <v>0</v>
      </c>
      <c r="AD44" s="492">
        <f>SUM(G44:N44,P44:W44)</f>
        <v>50</v>
      </c>
      <c r="AE44" s="492">
        <f>SUM(O44,X44)</f>
        <v>2</v>
      </c>
    </row>
    <row r="45" spans="1:31" ht="30" customHeight="1">
      <c r="A45" s="766" t="s">
        <v>153</v>
      </c>
      <c r="B45" s="646" t="s">
        <v>118</v>
      </c>
      <c r="C45" s="650"/>
      <c r="D45" s="647"/>
      <c r="E45" s="537">
        <v>9</v>
      </c>
      <c r="F45" s="537"/>
      <c r="G45" s="764"/>
      <c r="H45" s="506"/>
      <c r="I45" s="768">
        <v>15</v>
      </c>
      <c r="J45" s="496">
        <v>10</v>
      </c>
      <c r="K45" s="764"/>
      <c r="L45" s="506"/>
      <c r="M45" s="764"/>
      <c r="N45" s="506"/>
      <c r="O45" s="764">
        <v>1</v>
      </c>
      <c r="P45" s="763"/>
      <c r="Q45" s="494"/>
      <c r="R45" s="763"/>
      <c r="S45" s="494"/>
      <c r="T45" s="763"/>
      <c r="U45" s="494"/>
      <c r="V45" s="763"/>
      <c r="W45" s="494"/>
      <c r="X45" s="763"/>
      <c r="Y45" s="492">
        <f>SUM(Z45:AC45)</f>
        <v>15</v>
      </c>
      <c r="Z45" s="492">
        <f>SUM(G45,P45)</f>
        <v>0</v>
      </c>
      <c r="AA45" s="492">
        <f>SUM(I45,R45)</f>
        <v>15</v>
      </c>
      <c r="AB45" s="492">
        <f>SUM(K45,T45)</f>
        <v>0</v>
      </c>
      <c r="AC45" s="492">
        <f>SUM(M45,V45)</f>
        <v>0</v>
      </c>
      <c r="AD45" s="492">
        <f>SUM(G45:N45,P45:W45)</f>
        <v>25</v>
      </c>
      <c r="AE45" s="492">
        <f>SUM(O45,X45)</f>
        <v>1</v>
      </c>
    </row>
    <row r="46" spans="1:31" ht="30" customHeight="1">
      <c r="A46" s="766" t="s">
        <v>192</v>
      </c>
      <c r="B46" s="646" t="s">
        <v>118</v>
      </c>
      <c r="C46" s="650"/>
      <c r="D46" s="647"/>
      <c r="E46" s="537">
        <v>10</v>
      </c>
      <c r="F46" s="537"/>
      <c r="G46" s="764"/>
      <c r="H46" s="506"/>
      <c r="I46" s="768"/>
      <c r="J46" s="496"/>
      <c r="K46" s="764"/>
      <c r="L46" s="506"/>
      <c r="M46" s="764"/>
      <c r="N46" s="506"/>
      <c r="O46" s="764"/>
      <c r="P46" s="763">
        <v>15</v>
      </c>
      <c r="Q46" s="494">
        <v>10</v>
      </c>
      <c r="R46" s="763"/>
      <c r="S46" s="494"/>
      <c r="T46" s="763"/>
      <c r="U46" s="494"/>
      <c r="V46" s="763"/>
      <c r="W46" s="494"/>
      <c r="X46" s="763">
        <v>1</v>
      </c>
      <c r="Y46" s="492">
        <f>SUM(Z46:AC46)</f>
        <v>15</v>
      </c>
      <c r="Z46" s="492">
        <f>SUM(G46,P46)</f>
        <v>15</v>
      </c>
      <c r="AA46" s="492">
        <f>SUM(I46,R46)</f>
        <v>0</v>
      </c>
      <c r="AB46" s="492">
        <f>SUM(K46,T46)</f>
        <v>0</v>
      </c>
      <c r="AC46" s="492">
        <f>SUM(M46,V46)</f>
        <v>0</v>
      </c>
      <c r="AD46" s="492">
        <f>SUM(G46:N46,P46:W46)</f>
        <v>25</v>
      </c>
      <c r="AE46" s="492">
        <f>SUM(O46,X46)</f>
        <v>1</v>
      </c>
    </row>
    <row r="47" spans="1:31" ht="30" customHeight="1">
      <c r="A47" s="784" t="s">
        <v>193</v>
      </c>
      <c r="B47" s="646" t="s">
        <v>313</v>
      </c>
      <c r="C47" s="650"/>
      <c r="D47" s="647"/>
      <c r="E47" s="498" t="s">
        <v>253</v>
      </c>
      <c r="F47" s="488"/>
      <c r="G47" s="767"/>
      <c r="H47" s="767"/>
      <c r="I47" s="768">
        <v>30</v>
      </c>
      <c r="J47" s="496">
        <v>20</v>
      </c>
      <c r="K47" s="767"/>
      <c r="L47" s="767"/>
      <c r="M47" s="767"/>
      <c r="N47" s="767"/>
      <c r="O47" s="768">
        <v>2</v>
      </c>
      <c r="P47" s="763"/>
      <c r="Q47" s="763"/>
      <c r="R47" s="763">
        <v>30</v>
      </c>
      <c r="S47" s="494">
        <v>20</v>
      </c>
      <c r="T47" s="763"/>
      <c r="U47" s="763"/>
      <c r="V47" s="763"/>
      <c r="W47" s="763"/>
      <c r="X47" s="763">
        <v>2</v>
      </c>
      <c r="Y47" s="492">
        <f>SUM(Z47:AC47)</f>
        <v>60</v>
      </c>
      <c r="Z47" s="492">
        <f>SUM(G47,P47)</f>
        <v>0</v>
      </c>
      <c r="AA47" s="492">
        <f>SUM(I47,R47)</f>
        <v>60</v>
      </c>
      <c r="AB47" s="492">
        <f>SUM(K47,T47)</f>
        <v>0</v>
      </c>
      <c r="AC47" s="492">
        <f>SUM(M47,V47)</f>
        <v>0</v>
      </c>
      <c r="AD47" s="492">
        <f>SUM(G47:N47,P47:W47)</f>
        <v>100</v>
      </c>
      <c r="AE47" s="492">
        <f>SUM(O47,X47)</f>
        <v>4</v>
      </c>
    </row>
    <row r="48" spans="1:31" ht="16.5" customHeight="1" thickBot="1">
      <c r="A48" s="621" t="s">
        <v>9</v>
      </c>
      <c r="B48" s="622"/>
      <c r="C48" s="622"/>
      <c r="D48" s="622"/>
      <c r="E48" s="622"/>
      <c r="F48" s="623"/>
      <c r="G48" s="503">
        <f>SUM(G44:G47)</f>
        <v>10</v>
      </c>
      <c r="H48" s="503">
        <f>SUM(H44:H47)</f>
        <v>15</v>
      </c>
      <c r="I48" s="503">
        <f>SUM(I44:I47)</f>
        <v>60</v>
      </c>
      <c r="J48" s="503">
        <f>SUM(J44:J47)</f>
        <v>40</v>
      </c>
      <c r="K48" s="503">
        <f>SUM(K44:K47)</f>
        <v>0</v>
      </c>
      <c r="L48" s="503">
        <f>SUM(L44:L47)</f>
        <v>0</v>
      </c>
      <c r="M48" s="503">
        <f>SUM(M44:M47)</f>
        <v>0</v>
      </c>
      <c r="N48" s="503">
        <f>SUM(N44:N47)</f>
        <v>0</v>
      </c>
      <c r="O48" s="503">
        <f>SUM(O44:O47)</f>
        <v>5</v>
      </c>
      <c r="P48" s="503">
        <f>SUM(P44:P47)</f>
        <v>15</v>
      </c>
      <c r="Q48" s="503">
        <f>SUM(Q44:Q47)</f>
        <v>10</v>
      </c>
      <c r="R48" s="503">
        <f>SUM(R44:R47)</f>
        <v>30</v>
      </c>
      <c r="S48" s="503">
        <f>SUM(S44:S47)</f>
        <v>20</v>
      </c>
      <c r="T48" s="503">
        <f>SUM(T44:T47)</f>
        <v>0</v>
      </c>
      <c r="U48" s="503">
        <f>SUM(U44:U47)</f>
        <v>0</v>
      </c>
      <c r="V48" s="503">
        <f>SUM(V44:V47)</f>
        <v>0</v>
      </c>
      <c r="W48" s="503">
        <f>SUM(W44:W47)</f>
        <v>0</v>
      </c>
      <c r="X48" s="503">
        <f>SUM(X44:X47)</f>
        <v>3</v>
      </c>
      <c r="Y48" s="503">
        <f>SUM(Y44:Y47)</f>
        <v>115</v>
      </c>
      <c r="Z48" s="503">
        <f>SUM(Z44:Z47)</f>
        <v>25</v>
      </c>
      <c r="AA48" s="503">
        <f>SUM(AA44:AA47)</f>
        <v>90</v>
      </c>
      <c r="AB48" s="503">
        <f>SUM(AB44:AB47)</f>
        <v>0</v>
      </c>
      <c r="AC48" s="503">
        <f>SUM(AC44:AC47)</f>
        <v>0</v>
      </c>
      <c r="AD48" s="503">
        <f>SUM(AD44:AD47)</f>
        <v>200</v>
      </c>
      <c r="AE48" s="503">
        <f>SUM(AE44:AE47)</f>
        <v>8</v>
      </c>
    </row>
    <row r="49" spans="1:31" ht="23.25" customHeight="1" thickBot="1">
      <c r="A49" s="783" t="s">
        <v>21</v>
      </c>
      <c r="B49" s="782"/>
      <c r="C49" s="782"/>
      <c r="D49" s="782"/>
      <c r="E49" s="782"/>
      <c r="F49" s="781"/>
      <c r="G49" s="779">
        <f>SUM(G12,G18,G31,G35,G39,G42,G48)</f>
        <v>165</v>
      </c>
      <c r="H49" s="780">
        <f>SUM(H12,H18,H31,H35,H39,H42,H48)</f>
        <v>125</v>
      </c>
      <c r="I49" s="779">
        <f>SUM(I12,I18,I31,I35,I39,I42,I48)</f>
        <v>210</v>
      </c>
      <c r="J49" s="780">
        <f>SUM(J12,J18,J31,J35,J39,J42,J48)</f>
        <v>135</v>
      </c>
      <c r="K49" s="779">
        <f>SUM(K12,K18,K31,K35,K39,K42,K48)</f>
        <v>155</v>
      </c>
      <c r="L49" s="780">
        <f>SUM(L12,L18,L31,L35,L39,L42,L48)</f>
        <v>0</v>
      </c>
      <c r="M49" s="779">
        <f>SUM(M12,M18,M31,M35,M39,M42,M48)</f>
        <v>0</v>
      </c>
      <c r="N49" s="780">
        <f>SUM(N12,N18,N31,N35,N39,N42,N48)</f>
        <v>0</v>
      </c>
      <c r="O49" s="779">
        <f>SUM(O12+O18+O31+O35+O39+O42+O48)</f>
        <v>31</v>
      </c>
      <c r="P49" s="779">
        <f>SUM(P12,P18,P31,P35,P39,P42,P48)</f>
        <v>170</v>
      </c>
      <c r="Q49" s="780">
        <f>SUM(Q12,Q18,Q31,Q35,Q39,Q42,Q48)</f>
        <v>90</v>
      </c>
      <c r="R49" s="779">
        <f>SUM(R12,R18,R31,R35,R39,R42,R48)</f>
        <v>300</v>
      </c>
      <c r="S49" s="780">
        <f>SUM(S12,S18,S31,S35,S39,S42,S48)</f>
        <v>85</v>
      </c>
      <c r="T49" s="779">
        <f>SUM(T12,T18,T31,T35,T39,T42,T48)</f>
        <v>165</v>
      </c>
      <c r="U49" s="780">
        <f>SUM(U12,U18,U31,U35,U39,U42,U48)</f>
        <v>0</v>
      </c>
      <c r="V49" s="779">
        <f>SUM(V12,V18,V31,V35,V39,V42,V48)</f>
        <v>0</v>
      </c>
      <c r="W49" s="780">
        <f>SUM(W12,W18,W31,W35,W39,W42,W48)</f>
        <v>0</v>
      </c>
      <c r="X49" s="779">
        <f>SUM(X48,X42,X39,X35,X31,X18,X12)</f>
        <v>31</v>
      </c>
      <c r="Y49" s="779">
        <f>SUM(Y12+Y18+Y31+Y35+Y39+Y42+Y48)</f>
        <v>1165</v>
      </c>
      <c r="Z49" s="779">
        <f>SUM(Z12+Z18+Z31+Z35+Z39+Z42+Z48)</f>
        <v>335</v>
      </c>
      <c r="AA49" s="779">
        <f>SUM(AA12+AA18+AA31+AA35+AA39+AA42+AA48)</f>
        <v>510</v>
      </c>
      <c r="AB49" s="779">
        <f>SUM(AB48,AB42,AB39,AB35,AB31,AB18,AB12)</f>
        <v>320</v>
      </c>
      <c r="AC49" s="779">
        <f>SUM(AC12,AC18,AC31,AC35,AC39,AC42,AC48)</f>
        <v>0</v>
      </c>
      <c r="AD49" s="779">
        <f>SUM(AD12+AD18+AD31+AD35+AD39+AD42+AD48)</f>
        <v>1600</v>
      </c>
      <c r="AE49" s="779">
        <f>SUM(AE12+AE18+AE31+AE35+AE39+AE42+AE48)</f>
        <v>62</v>
      </c>
    </row>
    <row r="50" spans="1:31" ht="10.5" customHeight="1">
      <c r="A50" s="778"/>
      <c r="B50" s="777"/>
      <c r="C50" s="776"/>
      <c r="D50" s="488"/>
      <c r="E50" s="488"/>
      <c r="F50" s="488"/>
      <c r="G50" s="488"/>
      <c r="H50" s="488"/>
      <c r="I50" s="488"/>
      <c r="J50" s="488"/>
      <c r="K50" s="488"/>
      <c r="L50" s="488"/>
      <c r="M50" s="488"/>
      <c r="N50" s="488"/>
      <c r="O50" s="488"/>
      <c r="P50" s="488"/>
      <c r="Q50" s="488"/>
      <c r="R50" s="488"/>
      <c r="S50" s="488"/>
      <c r="T50" s="488"/>
      <c r="U50" s="488"/>
      <c r="V50" s="488"/>
      <c r="W50" s="488"/>
      <c r="X50" s="488"/>
      <c r="Y50" s="488"/>
      <c r="Z50" s="488"/>
      <c r="AA50" s="488"/>
      <c r="AB50" s="488"/>
      <c r="AC50" s="488"/>
      <c r="AD50" s="488"/>
      <c r="AE50" s="488"/>
    </row>
    <row r="51" spans="1:31" ht="18">
      <c r="A51" s="818" t="s">
        <v>365</v>
      </c>
      <c r="B51" s="818"/>
      <c r="C51" s="818"/>
      <c r="D51" s="818"/>
      <c r="E51" s="818"/>
      <c r="F51" s="818"/>
      <c r="G51" s="818"/>
      <c r="H51" s="818"/>
      <c r="I51" s="818"/>
      <c r="J51" s="818"/>
      <c r="K51" s="818"/>
      <c r="L51" s="818"/>
      <c r="M51" s="818"/>
      <c r="N51" s="818"/>
      <c r="O51" s="818"/>
      <c r="P51" s="818"/>
      <c r="Q51" s="818"/>
      <c r="R51" s="818"/>
      <c r="S51" s="818"/>
      <c r="T51" s="818"/>
      <c r="U51" s="818"/>
      <c r="V51" s="818"/>
      <c r="W51" s="818"/>
      <c r="X51" s="818"/>
      <c r="Y51" s="818"/>
      <c r="Z51" s="818"/>
      <c r="AA51" s="818"/>
      <c r="AB51" s="818"/>
      <c r="AC51" s="818"/>
      <c r="AD51" s="818"/>
      <c r="AE51" s="818"/>
    </row>
    <row r="52" spans="1:31" ht="29.25" customHeight="1">
      <c r="A52" s="766" t="s">
        <v>214</v>
      </c>
      <c r="B52" s="177" t="s">
        <v>163</v>
      </c>
      <c r="C52" s="500" t="str">
        <f>"0912-7LEK-F"&amp;A52&amp;"-"&amp;UPPER(LEFT(B52,1))</f>
        <v>0912-7LEK-F32-H</v>
      </c>
      <c r="D52" s="538"/>
      <c r="E52" s="537">
        <v>9</v>
      </c>
      <c r="F52" s="537"/>
      <c r="G52" s="764">
        <v>10</v>
      </c>
      <c r="H52" s="506">
        <v>15</v>
      </c>
      <c r="I52" s="764">
        <v>15</v>
      </c>
      <c r="J52" s="506">
        <v>10</v>
      </c>
      <c r="K52" s="764"/>
      <c r="L52" s="764"/>
      <c r="M52" s="764"/>
      <c r="N52" s="764"/>
      <c r="O52" s="764">
        <v>2</v>
      </c>
      <c r="P52" s="763"/>
      <c r="Q52" s="763"/>
      <c r="R52" s="763"/>
      <c r="S52" s="763"/>
      <c r="T52" s="763"/>
      <c r="U52" s="763"/>
      <c r="V52" s="763"/>
      <c r="W52" s="763"/>
      <c r="X52" s="763"/>
      <c r="Y52" s="492">
        <f>SUM(G52,I52,K52,M52,P52,R52,T52,V52)</f>
        <v>25</v>
      </c>
      <c r="Z52" s="492">
        <f>SUM(G52,P52)</f>
        <v>10</v>
      </c>
      <c r="AA52" s="492">
        <f>SUM(I52,R52)</f>
        <v>15</v>
      </c>
      <c r="AB52" s="492">
        <f>SUM(K52,T52)</f>
        <v>0</v>
      </c>
      <c r="AC52" s="492">
        <f>SUM(M52,V52)</f>
        <v>0</v>
      </c>
      <c r="AD52" s="492">
        <f>SUM(G52:M52,P52:W52,N52)</f>
        <v>50</v>
      </c>
      <c r="AE52" s="492">
        <f>SUM(O52,X52)</f>
        <v>2</v>
      </c>
    </row>
    <row r="53" spans="1:31" ht="29.25" customHeight="1">
      <c r="A53" s="766" t="s">
        <v>215</v>
      </c>
      <c r="B53" s="177" t="s">
        <v>164</v>
      </c>
      <c r="C53" s="500" t="str">
        <f>"0912-7LEK-F"&amp;A53&amp;"-"&amp;UPPER(LEFT(B53,1))</f>
        <v>0912-7LEK-F33-G</v>
      </c>
      <c r="D53" s="538"/>
      <c r="E53" s="537">
        <v>9</v>
      </c>
      <c r="F53" s="537"/>
      <c r="G53" s="764">
        <v>10</v>
      </c>
      <c r="H53" s="506">
        <v>15</v>
      </c>
      <c r="I53" s="764">
        <v>15</v>
      </c>
      <c r="J53" s="506">
        <v>10</v>
      </c>
      <c r="K53" s="764"/>
      <c r="L53" s="764"/>
      <c r="M53" s="764"/>
      <c r="N53" s="764"/>
      <c r="O53" s="764">
        <v>2</v>
      </c>
      <c r="P53" s="763"/>
      <c r="Q53" s="763"/>
      <c r="R53" s="763"/>
      <c r="S53" s="763"/>
      <c r="T53" s="763"/>
      <c r="U53" s="763"/>
      <c r="V53" s="763"/>
      <c r="W53" s="763"/>
      <c r="X53" s="763"/>
      <c r="Y53" s="492">
        <f>SUM(G53,I53,K53,M53,P53,R53,T53,V53)</f>
        <v>25</v>
      </c>
      <c r="Z53" s="492">
        <f>SUM(G53,P53)</f>
        <v>10</v>
      </c>
      <c r="AA53" s="492">
        <f>SUM(I53,R53)</f>
        <v>15</v>
      </c>
      <c r="AB53" s="492">
        <f>SUM(K53,T53)</f>
        <v>0</v>
      </c>
      <c r="AC53" s="492">
        <f>SUM(M53,V53)</f>
        <v>0</v>
      </c>
      <c r="AD53" s="492">
        <f>SUM(G53:M53,P53:W53,N53)</f>
        <v>50</v>
      </c>
      <c r="AE53" s="492">
        <f>SUM(O53,X53)</f>
        <v>2</v>
      </c>
    </row>
    <row r="54" spans="1:31" ht="29.25" customHeight="1">
      <c r="A54" s="766" t="s">
        <v>216</v>
      </c>
      <c r="B54" s="177" t="s">
        <v>175</v>
      </c>
      <c r="C54" s="500" t="str">
        <f>"0912-7LEK-F"&amp;A54&amp;"-"&amp;UPPER(LEFT(B54,1))</f>
        <v>0912-7LEK-F34-A</v>
      </c>
      <c r="D54" s="538"/>
      <c r="E54" s="537">
        <v>9</v>
      </c>
      <c r="F54" s="537"/>
      <c r="G54" s="764">
        <v>10</v>
      </c>
      <c r="H54" s="506">
        <v>15</v>
      </c>
      <c r="I54" s="764">
        <v>15</v>
      </c>
      <c r="J54" s="506">
        <v>10</v>
      </c>
      <c r="K54" s="764"/>
      <c r="L54" s="764"/>
      <c r="M54" s="764"/>
      <c r="N54" s="764"/>
      <c r="O54" s="764">
        <v>2</v>
      </c>
      <c r="P54" s="763"/>
      <c r="Q54" s="763"/>
      <c r="R54" s="763"/>
      <c r="S54" s="763"/>
      <c r="T54" s="763"/>
      <c r="U54" s="763"/>
      <c r="V54" s="763"/>
      <c r="W54" s="763"/>
      <c r="X54" s="763"/>
      <c r="Y54" s="492">
        <f>SUM(G54,I54,K54,M54,P54,R54,T54,V54)</f>
        <v>25</v>
      </c>
      <c r="Z54" s="492">
        <f>SUM(G54,P54)</f>
        <v>10</v>
      </c>
      <c r="AA54" s="492">
        <f>SUM(I54,R54)</f>
        <v>15</v>
      </c>
      <c r="AB54" s="492">
        <f>SUM(K54,T54)</f>
        <v>0</v>
      </c>
      <c r="AC54" s="492">
        <f>SUM(M54,V54)</f>
        <v>0</v>
      </c>
      <c r="AD54" s="492">
        <f>SUM(G54:M54,P54:W54,N54)</f>
        <v>50</v>
      </c>
      <c r="AE54" s="492">
        <f>SUM(O54,X54)</f>
        <v>2</v>
      </c>
    </row>
    <row r="55" spans="1:31" ht="29.25" customHeight="1">
      <c r="A55" s="766" t="s">
        <v>217</v>
      </c>
      <c r="B55" s="177" t="s">
        <v>182</v>
      </c>
      <c r="C55" s="500" t="str">
        <f>"0912-7LEK-F"&amp;A55&amp;"-"&amp;UPPER(LEFT(B55,1))</f>
        <v>0912-7LEK-F35-K</v>
      </c>
      <c r="D55" s="538"/>
      <c r="E55" s="537">
        <v>9</v>
      </c>
      <c r="F55" s="537"/>
      <c r="G55" s="764">
        <v>10</v>
      </c>
      <c r="H55" s="506">
        <v>15</v>
      </c>
      <c r="I55" s="764">
        <v>15</v>
      </c>
      <c r="J55" s="506">
        <v>10</v>
      </c>
      <c r="K55" s="764"/>
      <c r="L55" s="764"/>
      <c r="M55" s="764"/>
      <c r="N55" s="764"/>
      <c r="O55" s="764">
        <v>2</v>
      </c>
      <c r="P55" s="763"/>
      <c r="Q55" s="763"/>
      <c r="R55" s="763"/>
      <c r="S55" s="763"/>
      <c r="T55" s="763"/>
      <c r="U55" s="763"/>
      <c r="V55" s="763"/>
      <c r="W55" s="763"/>
      <c r="X55" s="763"/>
      <c r="Y55" s="492">
        <f>SUM(G55,I55,K55,M55,P55,R55,T55,V55)</f>
        <v>25</v>
      </c>
      <c r="Z55" s="492">
        <f>SUM(G55,P55)</f>
        <v>10</v>
      </c>
      <c r="AA55" s="492">
        <f>SUM(I55,R55)</f>
        <v>15</v>
      </c>
      <c r="AB55" s="492">
        <f>SUM(K55,T55)</f>
        <v>0</v>
      </c>
      <c r="AC55" s="492">
        <f>SUM(M55,V55)</f>
        <v>0</v>
      </c>
      <c r="AD55" s="492">
        <f>SUM(G55:M55,P55:W55,N55)</f>
        <v>50</v>
      </c>
      <c r="AE55" s="492">
        <f>SUM(O55,X55)</f>
        <v>2</v>
      </c>
    </row>
    <row r="56" spans="1:31" ht="29.25" customHeight="1">
      <c r="A56" s="766" t="s">
        <v>218</v>
      </c>
      <c r="B56" s="177" t="s">
        <v>179</v>
      </c>
      <c r="C56" s="500" t="str">
        <f>"0912-7LEK-F"&amp;A56&amp;"-"&amp;UPPER(LEFT(B56,1))</f>
        <v>0912-7LEK-F36-Ż</v>
      </c>
      <c r="D56" s="538"/>
      <c r="E56" s="537">
        <v>9</v>
      </c>
      <c r="F56" s="537"/>
      <c r="G56" s="764">
        <v>10</v>
      </c>
      <c r="H56" s="506">
        <v>15</v>
      </c>
      <c r="I56" s="764">
        <v>15</v>
      </c>
      <c r="J56" s="506">
        <v>10</v>
      </c>
      <c r="K56" s="764"/>
      <c r="L56" s="764"/>
      <c r="M56" s="764"/>
      <c r="N56" s="764"/>
      <c r="O56" s="764">
        <v>2</v>
      </c>
      <c r="P56" s="763"/>
      <c r="Q56" s="763"/>
      <c r="R56" s="763"/>
      <c r="S56" s="763"/>
      <c r="T56" s="763"/>
      <c r="U56" s="763"/>
      <c r="V56" s="763"/>
      <c r="W56" s="763"/>
      <c r="X56" s="763"/>
      <c r="Y56" s="492">
        <f>SUM(G56,I56,K56,M56,P56,R56,T56,V56)</f>
        <v>25</v>
      </c>
      <c r="Z56" s="492">
        <f>SUM(G56,P56)</f>
        <v>10</v>
      </c>
      <c r="AA56" s="492">
        <f>SUM(I56,R56)</f>
        <v>15</v>
      </c>
      <c r="AB56" s="492">
        <f>SUM(K56,T56)</f>
        <v>0</v>
      </c>
      <c r="AC56" s="492">
        <f>SUM(M56,V56)</f>
        <v>0</v>
      </c>
      <c r="AD56" s="492">
        <f>SUM(G56:M56,P56:W56,N56)</f>
        <v>50</v>
      </c>
      <c r="AE56" s="492">
        <f>SUM(O56,X56)</f>
        <v>2</v>
      </c>
    </row>
    <row r="57" spans="1:31" ht="29.25" customHeight="1">
      <c r="A57" s="766" t="s">
        <v>219</v>
      </c>
      <c r="B57" s="177" t="s">
        <v>176</v>
      </c>
      <c r="C57" s="500" t="str">
        <f>"0912-7LEK-F"&amp;A57&amp;"-"&amp;UPPER(LEFT(B57,1))</f>
        <v>0912-7LEK-F37-A</v>
      </c>
      <c r="D57" s="538"/>
      <c r="E57" s="537">
        <v>9</v>
      </c>
      <c r="F57" s="537"/>
      <c r="G57" s="764">
        <v>10</v>
      </c>
      <c r="H57" s="506">
        <v>15</v>
      </c>
      <c r="I57" s="764">
        <v>15</v>
      </c>
      <c r="J57" s="506">
        <v>10</v>
      </c>
      <c r="K57" s="764"/>
      <c r="L57" s="764"/>
      <c r="M57" s="764"/>
      <c r="N57" s="764"/>
      <c r="O57" s="764">
        <v>2</v>
      </c>
      <c r="P57" s="763"/>
      <c r="Q57" s="763"/>
      <c r="R57" s="763"/>
      <c r="S57" s="763"/>
      <c r="T57" s="763"/>
      <c r="U57" s="763"/>
      <c r="V57" s="763"/>
      <c r="W57" s="763"/>
      <c r="X57" s="763"/>
      <c r="Y57" s="492">
        <f>SUM(G57,I57,K57,M57,P57,R57,T57,V57)</f>
        <v>25</v>
      </c>
      <c r="Z57" s="492">
        <f>SUM(G57,P57)</f>
        <v>10</v>
      </c>
      <c r="AA57" s="492">
        <f>SUM(I57,R57)</f>
        <v>15</v>
      </c>
      <c r="AB57" s="492">
        <f>SUM(K57,T57)</f>
        <v>0</v>
      </c>
      <c r="AC57" s="492">
        <f>SUM(M57,V57)</f>
        <v>0</v>
      </c>
      <c r="AD57" s="492">
        <f>SUM(G57:M57,P57:W57,N57)</f>
        <v>50</v>
      </c>
      <c r="AE57" s="492">
        <f>SUM(O57,X57)</f>
        <v>2</v>
      </c>
    </row>
    <row r="58" spans="1:31" ht="29.25" customHeight="1">
      <c r="A58" s="766" t="s">
        <v>220</v>
      </c>
      <c r="B58" s="177" t="s">
        <v>358</v>
      </c>
      <c r="C58" s="500" t="str">
        <f>"0912-7LEK-F"&amp;A58&amp;"-"&amp;UPPER(LEFT(B58,1))</f>
        <v>0912-7LEK-F38-L</v>
      </c>
      <c r="D58" s="538"/>
      <c r="E58" s="537">
        <v>9</v>
      </c>
      <c r="F58" s="537"/>
      <c r="G58" s="764">
        <v>10</v>
      </c>
      <c r="H58" s="506">
        <v>15</v>
      </c>
      <c r="I58" s="764">
        <v>15</v>
      </c>
      <c r="J58" s="506">
        <v>10</v>
      </c>
      <c r="K58" s="764"/>
      <c r="L58" s="764"/>
      <c r="M58" s="764"/>
      <c r="N58" s="764"/>
      <c r="O58" s="764">
        <v>2</v>
      </c>
      <c r="P58" s="763"/>
      <c r="Q58" s="763"/>
      <c r="R58" s="763"/>
      <c r="S58" s="763"/>
      <c r="T58" s="763"/>
      <c r="U58" s="763"/>
      <c r="V58" s="763"/>
      <c r="W58" s="763"/>
      <c r="X58" s="763"/>
      <c r="Y58" s="492">
        <f>SUM(G58,I58,K58,M58,P58,R58,T58,V58)</f>
        <v>25</v>
      </c>
      <c r="Z58" s="492">
        <f>SUM(G58,P58)</f>
        <v>10</v>
      </c>
      <c r="AA58" s="492">
        <f>SUM(I58,R58)</f>
        <v>15</v>
      </c>
      <c r="AB58" s="492">
        <f>SUM(K58,T58)</f>
        <v>0</v>
      </c>
      <c r="AC58" s="492">
        <f>SUM(M58,V58)</f>
        <v>0</v>
      </c>
      <c r="AD58" s="492">
        <f>SUM(G58:M58,P58:W58,N58)</f>
        <v>50</v>
      </c>
      <c r="AE58" s="492">
        <f>SUM(O58,X58)</f>
        <v>2</v>
      </c>
    </row>
    <row r="59" spans="1:31" ht="29.25" customHeight="1">
      <c r="A59" s="766" t="s">
        <v>221</v>
      </c>
      <c r="B59" s="177" t="s">
        <v>178</v>
      </c>
      <c r="C59" s="500" t="str">
        <f>"0912-7LEK-F"&amp;A59&amp;"-"&amp;UPPER(LEFT(B59,1))</f>
        <v>0912-7LEK-F39-E</v>
      </c>
      <c r="D59" s="538"/>
      <c r="E59" s="537">
        <v>9</v>
      </c>
      <c r="F59" s="537"/>
      <c r="G59" s="764">
        <v>10</v>
      </c>
      <c r="H59" s="506">
        <v>15</v>
      </c>
      <c r="I59" s="764">
        <v>15</v>
      </c>
      <c r="J59" s="506">
        <v>10</v>
      </c>
      <c r="K59" s="764"/>
      <c r="L59" s="764"/>
      <c r="M59" s="764"/>
      <c r="N59" s="764"/>
      <c r="O59" s="764">
        <v>2</v>
      </c>
      <c r="P59" s="763"/>
      <c r="Q59" s="763"/>
      <c r="R59" s="763"/>
      <c r="S59" s="763"/>
      <c r="T59" s="763"/>
      <c r="U59" s="763"/>
      <c r="V59" s="763"/>
      <c r="W59" s="763"/>
      <c r="X59" s="763"/>
      <c r="Y59" s="492">
        <f>SUM(G59,I59,K59,M59,P59,R59,T59,V59)</f>
        <v>25</v>
      </c>
      <c r="Z59" s="492">
        <f>SUM(G59,P59)</f>
        <v>10</v>
      </c>
      <c r="AA59" s="492">
        <f>SUM(I59,R59)</f>
        <v>15</v>
      </c>
      <c r="AB59" s="492">
        <f>SUM(K59,T59)</f>
        <v>0</v>
      </c>
      <c r="AC59" s="492">
        <f>SUM(M59,V59)</f>
        <v>0</v>
      </c>
      <c r="AD59" s="492">
        <f>SUM(G59:M59,P59:W59,N59)</f>
        <v>50</v>
      </c>
      <c r="AE59" s="492">
        <f>SUM(O59,X59)</f>
        <v>2</v>
      </c>
    </row>
    <row r="60" spans="1:31" ht="29.25" customHeight="1">
      <c r="A60" s="766" t="s">
        <v>222</v>
      </c>
      <c r="B60" s="177" t="s">
        <v>165</v>
      </c>
      <c r="C60" s="500" t="str">
        <f>"0912-7LEK-F"&amp;A60&amp;"-"&amp;UPPER(LEFT(B60,1))</f>
        <v>0912-7LEK-F40-T</v>
      </c>
      <c r="D60" s="538"/>
      <c r="E60" s="537">
        <v>9</v>
      </c>
      <c r="F60" s="537"/>
      <c r="G60" s="764">
        <v>10</v>
      </c>
      <c r="H60" s="506">
        <v>15</v>
      </c>
      <c r="I60" s="764">
        <v>15</v>
      </c>
      <c r="J60" s="506">
        <v>10</v>
      </c>
      <c r="K60" s="764"/>
      <c r="L60" s="764"/>
      <c r="M60" s="764"/>
      <c r="N60" s="764"/>
      <c r="O60" s="764">
        <v>2</v>
      </c>
      <c r="P60" s="763"/>
      <c r="Q60" s="763"/>
      <c r="R60" s="763"/>
      <c r="S60" s="763"/>
      <c r="T60" s="763"/>
      <c r="U60" s="763"/>
      <c r="V60" s="763"/>
      <c r="W60" s="763"/>
      <c r="X60" s="763"/>
      <c r="Y60" s="492">
        <f>SUM(G60,I60,K60,M60,P60,R60,T60,V60)</f>
        <v>25</v>
      </c>
      <c r="Z60" s="492">
        <f>SUM(G60,P60)</f>
        <v>10</v>
      </c>
      <c r="AA60" s="492">
        <f>SUM(I60,R60)</f>
        <v>15</v>
      </c>
      <c r="AB60" s="492">
        <f>SUM(K60,T60)</f>
        <v>0</v>
      </c>
      <c r="AC60" s="492">
        <f>SUM(M60,V60)</f>
        <v>0</v>
      </c>
      <c r="AD60" s="492">
        <f>SUM(G60:M60,P60:W60,N60)</f>
        <v>50</v>
      </c>
      <c r="AE60" s="492">
        <f>SUM(O60,X60)</f>
        <v>2</v>
      </c>
    </row>
    <row r="61" spans="1:31" ht="29.25" customHeight="1">
      <c r="A61" s="766" t="s">
        <v>223</v>
      </c>
      <c r="B61" s="177" t="s">
        <v>166</v>
      </c>
      <c r="C61" s="500" t="str">
        <f>"0912-7LEK-F"&amp;A61&amp;"-"&amp;UPPER(LEFT(B61,1))</f>
        <v>0912-7LEK-F41-D</v>
      </c>
      <c r="D61" s="538"/>
      <c r="E61" s="537">
        <v>9</v>
      </c>
      <c r="F61" s="537"/>
      <c r="G61" s="764">
        <v>10</v>
      </c>
      <c r="H61" s="506">
        <v>15</v>
      </c>
      <c r="I61" s="764">
        <v>15</v>
      </c>
      <c r="J61" s="506">
        <v>10</v>
      </c>
      <c r="K61" s="764"/>
      <c r="L61" s="764"/>
      <c r="M61" s="764"/>
      <c r="N61" s="764"/>
      <c r="O61" s="764">
        <v>2</v>
      </c>
      <c r="P61" s="763"/>
      <c r="Q61" s="763"/>
      <c r="R61" s="763"/>
      <c r="S61" s="763"/>
      <c r="T61" s="763"/>
      <c r="U61" s="763"/>
      <c r="V61" s="763"/>
      <c r="W61" s="763"/>
      <c r="X61" s="763"/>
      <c r="Y61" s="492">
        <f>SUM(G61,I61,K61,M61,P61,R61,T61,V61)</f>
        <v>25</v>
      </c>
      <c r="Z61" s="492">
        <f>SUM(G61,P61)</f>
        <v>10</v>
      </c>
      <c r="AA61" s="492">
        <f>SUM(I61,R61)</f>
        <v>15</v>
      </c>
      <c r="AB61" s="492">
        <f>SUM(K61,T61)</f>
        <v>0</v>
      </c>
      <c r="AC61" s="492">
        <f>SUM(M61,V61)</f>
        <v>0</v>
      </c>
      <c r="AD61" s="492">
        <f>SUM(G61:M61,P61:W61,N61)</f>
        <v>50</v>
      </c>
      <c r="AE61" s="492">
        <f>SUM(O61,X61)</f>
        <v>2</v>
      </c>
    </row>
    <row r="62" spans="1:31" ht="29.25" customHeight="1">
      <c r="A62" s="766" t="s">
        <v>224</v>
      </c>
      <c r="B62" s="177" t="s">
        <v>167</v>
      </c>
      <c r="C62" s="500" t="str">
        <f>"0912-7LEK-F"&amp;A62&amp;"-"&amp;UPPER(LEFT(B62,1))</f>
        <v>0912-7LEK-F42-R</v>
      </c>
      <c r="D62" s="538"/>
      <c r="E62" s="537">
        <v>9</v>
      </c>
      <c r="F62" s="537"/>
      <c r="G62" s="764">
        <v>10</v>
      </c>
      <c r="H62" s="506">
        <v>15</v>
      </c>
      <c r="I62" s="764">
        <v>15</v>
      </c>
      <c r="J62" s="506">
        <v>10</v>
      </c>
      <c r="K62" s="764"/>
      <c r="L62" s="764"/>
      <c r="M62" s="764"/>
      <c r="N62" s="764"/>
      <c r="O62" s="764">
        <v>2</v>
      </c>
      <c r="P62" s="763"/>
      <c r="Q62" s="763"/>
      <c r="R62" s="763"/>
      <c r="S62" s="763"/>
      <c r="T62" s="763"/>
      <c r="U62" s="763"/>
      <c r="V62" s="763"/>
      <c r="W62" s="763"/>
      <c r="X62" s="763"/>
      <c r="Y62" s="492">
        <f>SUM(G62,I62,K62,M62,P62,R62,T62,V62)</f>
        <v>25</v>
      </c>
      <c r="Z62" s="492">
        <f>SUM(G62,P62)</f>
        <v>10</v>
      </c>
      <c r="AA62" s="492">
        <f>SUM(I62,R62)</f>
        <v>15</v>
      </c>
      <c r="AB62" s="492">
        <f>SUM(K62,T62)</f>
        <v>0</v>
      </c>
      <c r="AC62" s="492">
        <f>SUM(M62,V62)</f>
        <v>0</v>
      </c>
      <c r="AD62" s="492">
        <f>SUM(G62:M62,P62:W62,N62)</f>
        <v>50</v>
      </c>
      <c r="AE62" s="492">
        <f>SUM(O62,X62)</f>
        <v>2</v>
      </c>
    </row>
    <row r="63" spans="1:31" ht="32.25" customHeight="1">
      <c r="A63" s="766" t="s">
        <v>225</v>
      </c>
      <c r="B63" s="177" t="s">
        <v>168</v>
      </c>
      <c r="C63" s="500" t="str">
        <f>"0912-7LEK-F"&amp;A63&amp;"-"&amp;UPPER(LEFT(B63,1))</f>
        <v>0912-7LEK-F43-Z</v>
      </c>
      <c r="D63" s="538"/>
      <c r="E63" s="537">
        <v>9</v>
      </c>
      <c r="F63" s="537"/>
      <c r="G63" s="764">
        <v>10</v>
      </c>
      <c r="H63" s="506">
        <v>15</v>
      </c>
      <c r="I63" s="764">
        <v>15</v>
      </c>
      <c r="J63" s="506">
        <v>10</v>
      </c>
      <c r="K63" s="764"/>
      <c r="L63" s="764"/>
      <c r="M63" s="764"/>
      <c r="N63" s="764"/>
      <c r="O63" s="764">
        <v>2</v>
      </c>
      <c r="P63" s="763"/>
      <c r="Q63" s="763"/>
      <c r="R63" s="763"/>
      <c r="S63" s="763"/>
      <c r="T63" s="763"/>
      <c r="U63" s="763"/>
      <c r="V63" s="763"/>
      <c r="W63" s="763"/>
      <c r="X63" s="763"/>
      <c r="Y63" s="492">
        <f>SUM(G63,I63,K63,M63,P63,R63,T63,V63)</f>
        <v>25</v>
      </c>
      <c r="Z63" s="492">
        <f>SUM(G63,P63)</f>
        <v>10</v>
      </c>
      <c r="AA63" s="492">
        <f>SUM(I63,R63)</f>
        <v>15</v>
      </c>
      <c r="AB63" s="492">
        <f>SUM(K63,T63)</f>
        <v>0</v>
      </c>
      <c r="AC63" s="492">
        <f>SUM(M63,V63)</f>
        <v>0</v>
      </c>
      <c r="AD63" s="492">
        <f>SUM(G63:M63,P63:W63,N63)</f>
        <v>50</v>
      </c>
      <c r="AE63" s="492">
        <f>SUM(O63,X63)</f>
        <v>2</v>
      </c>
    </row>
    <row r="64" spans="1:31" ht="29.25" customHeight="1">
      <c r="A64" s="766" t="s">
        <v>226</v>
      </c>
      <c r="B64" s="177" t="s">
        <v>171</v>
      </c>
      <c r="C64" s="500" t="str">
        <f>"0912-7LEK-F"&amp;A64&amp;"-"&amp;UPPER(LEFT(B64,1))</f>
        <v>0912-7LEK-F44-C</v>
      </c>
      <c r="D64" s="538"/>
      <c r="E64" s="537">
        <v>9</v>
      </c>
      <c r="F64" s="537"/>
      <c r="G64" s="764">
        <v>10</v>
      </c>
      <c r="H64" s="506">
        <v>15</v>
      </c>
      <c r="I64" s="768">
        <v>15</v>
      </c>
      <c r="J64" s="496">
        <v>10</v>
      </c>
      <c r="K64" s="764"/>
      <c r="L64" s="764"/>
      <c r="M64" s="764"/>
      <c r="N64" s="764"/>
      <c r="O64" s="764">
        <v>2</v>
      </c>
      <c r="P64" s="763"/>
      <c r="Q64" s="763"/>
      <c r="R64" s="763"/>
      <c r="S64" s="763"/>
      <c r="T64" s="763"/>
      <c r="U64" s="763"/>
      <c r="V64" s="763"/>
      <c r="W64" s="763"/>
      <c r="X64" s="763"/>
      <c r="Y64" s="492">
        <f>SUM(G64,I64,K64,M64,P64,R64,T64,V64)</f>
        <v>25</v>
      </c>
      <c r="Z64" s="492">
        <f>SUM(G64,P64)</f>
        <v>10</v>
      </c>
      <c r="AA64" s="492">
        <f>SUM(I64,R64)</f>
        <v>15</v>
      </c>
      <c r="AB64" s="492">
        <f>SUM(K64,T64)</f>
        <v>0</v>
      </c>
      <c r="AC64" s="492">
        <f>SUM(M64,V64)</f>
        <v>0</v>
      </c>
      <c r="AD64" s="492">
        <f>SUM(G64:M64,P64:W64,N64)</f>
        <v>50</v>
      </c>
      <c r="AE64" s="492">
        <f>SUM(O64,X64)</f>
        <v>2</v>
      </c>
    </row>
    <row r="65" spans="1:31" ht="29.25" customHeight="1">
      <c r="A65" s="766" t="s">
        <v>227</v>
      </c>
      <c r="B65" s="177" t="s">
        <v>170</v>
      </c>
      <c r="C65" s="500" t="str">
        <f>"0912-7LEK-F"&amp;A65&amp;"-"&amp;UPPER(LEFT(B65,1))</f>
        <v>0912-7LEK-F45-P</v>
      </c>
      <c r="D65" s="538"/>
      <c r="E65" s="537">
        <v>9</v>
      </c>
      <c r="F65" s="537"/>
      <c r="G65" s="764"/>
      <c r="H65" s="506"/>
      <c r="I65" s="768">
        <v>15</v>
      </c>
      <c r="J65" s="496">
        <v>10</v>
      </c>
      <c r="K65" s="764"/>
      <c r="L65" s="764"/>
      <c r="M65" s="764"/>
      <c r="N65" s="764"/>
      <c r="O65" s="764">
        <v>1</v>
      </c>
      <c r="P65" s="763"/>
      <c r="Q65" s="763"/>
      <c r="R65" s="763"/>
      <c r="S65" s="763"/>
      <c r="T65" s="763"/>
      <c r="U65" s="763"/>
      <c r="V65" s="763"/>
      <c r="W65" s="763"/>
      <c r="X65" s="763"/>
      <c r="Y65" s="492">
        <f>SUM(G65,I65,K65,M65,P65,R65,T65,V65)</f>
        <v>15</v>
      </c>
      <c r="Z65" s="492">
        <f>SUM(G65,P65)</f>
        <v>0</v>
      </c>
      <c r="AA65" s="492">
        <f>SUM(I65,R65)</f>
        <v>15</v>
      </c>
      <c r="AB65" s="492">
        <f>SUM(K65,T65)</f>
        <v>0</v>
      </c>
      <c r="AC65" s="492">
        <f>SUM(M65,V65)</f>
        <v>0</v>
      </c>
      <c r="AD65" s="492">
        <f>SUM(G65:M65,P65:W65,N65)</f>
        <v>25</v>
      </c>
      <c r="AE65" s="492">
        <f>SUM(O65,X65)</f>
        <v>1</v>
      </c>
    </row>
    <row r="66" spans="1:31" ht="29.25" customHeight="1">
      <c r="A66" s="766" t="s">
        <v>228</v>
      </c>
      <c r="B66" s="177" t="s">
        <v>272</v>
      </c>
      <c r="C66" s="500" t="str">
        <f>"0912-7LEK-F"&amp;A66&amp;"-"&amp;UPPER(LEFT(B66,1))</f>
        <v>0912-7LEK-F46-B</v>
      </c>
      <c r="D66" s="538"/>
      <c r="E66" s="537">
        <v>10</v>
      </c>
      <c r="F66" s="537"/>
      <c r="G66" s="764"/>
      <c r="H66" s="506"/>
      <c r="I66" s="768"/>
      <c r="J66" s="496"/>
      <c r="K66" s="764"/>
      <c r="L66" s="764"/>
      <c r="M66" s="764"/>
      <c r="N66" s="764"/>
      <c r="O66" s="764"/>
      <c r="P66" s="763">
        <v>15</v>
      </c>
      <c r="Q66" s="763">
        <v>10</v>
      </c>
      <c r="R66" s="763"/>
      <c r="S66" s="763"/>
      <c r="T66" s="763"/>
      <c r="U66" s="763"/>
      <c r="V66" s="763"/>
      <c r="W66" s="763"/>
      <c r="X66" s="763">
        <v>1</v>
      </c>
      <c r="Y66" s="492">
        <f>SUM(G66,I66,K66,M66,P66,R66,T66,V66)</f>
        <v>15</v>
      </c>
      <c r="Z66" s="492">
        <f>SUM(G66,P66)</f>
        <v>15</v>
      </c>
      <c r="AA66" s="492">
        <f>SUM(I66,R66)</f>
        <v>0</v>
      </c>
      <c r="AB66" s="492">
        <f>SUM(K66,T66)</f>
        <v>0</v>
      </c>
      <c r="AC66" s="492">
        <f>SUM(M66,V66)</f>
        <v>0</v>
      </c>
      <c r="AD66" s="492">
        <f>SUM(G66:M66,P66:W66,N66)</f>
        <v>25</v>
      </c>
      <c r="AE66" s="492">
        <f>SUM(O66,X66)</f>
        <v>1</v>
      </c>
    </row>
    <row r="67" spans="1:31" ht="29.25" customHeight="1">
      <c r="A67" s="766" t="s">
        <v>229</v>
      </c>
      <c r="B67" s="177" t="s">
        <v>169</v>
      </c>
      <c r="C67" s="500" t="str">
        <f>"0912-7LEK-F"&amp;A67&amp;"-"&amp;UPPER(LEFT(B67,1))</f>
        <v>0912-7LEK-F47-M</v>
      </c>
      <c r="D67" s="538"/>
      <c r="E67" s="537">
        <v>9</v>
      </c>
      <c r="F67" s="537"/>
      <c r="G67" s="764"/>
      <c r="H67" s="506"/>
      <c r="I67" s="768">
        <v>15</v>
      </c>
      <c r="J67" s="496">
        <v>10</v>
      </c>
      <c r="K67" s="764"/>
      <c r="L67" s="764"/>
      <c r="M67" s="764"/>
      <c r="N67" s="764"/>
      <c r="O67" s="764">
        <v>1</v>
      </c>
      <c r="P67" s="763"/>
      <c r="Q67" s="763"/>
      <c r="R67" s="763"/>
      <c r="S67" s="763"/>
      <c r="T67" s="763"/>
      <c r="U67" s="763"/>
      <c r="V67" s="763"/>
      <c r="W67" s="763"/>
      <c r="X67" s="763"/>
      <c r="Y67" s="492">
        <f>SUM(G67,I67,K67,M67,P67,R67,T67,V67)</f>
        <v>15</v>
      </c>
      <c r="Z67" s="492">
        <f>SUM(G67,P67)</f>
        <v>0</v>
      </c>
      <c r="AA67" s="492">
        <f>SUM(I67,R67)</f>
        <v>15</v>
      </c>
      <c r="AB67" s="492">
        <f>SUM(K67,T67)</f>
        <v>0</v>
      </c>
      <c r="AC67" s="492">
        <f>SUM(M67,V67)</f>
        <v>0</v>
      </c>
      <c r="AD67" s="492">
        <f>SUM(G67:M67,P67:W67,N67)</f>
        <v>25</v>
      </c>
      <c r="AE67" s="492">
        <f>SUM(O67,X67)</f>
        <v>1</v>
      </c>
    </row>
    <row r="68" spans="1:31" s="465" customFormat="1" ht="29.25" customHeight="1">
      <c r="A68" s="775" t="s">
        <v>230</v>
      </c>
      <c r="B68" s="485" t="s">
        <v>172</v>
      </c>
      <c r="C68" s="771" t="str">
        <f>"0912-7LEK-F"&amp;A68&amp;"-"&amp;UPPER(LEFT(B68,1))</f>
        <v>0912-7LEK-F48-C</v>
      </c>
      <c r="D68" s="770"/>
      <c r="E68" s="769">
        <v>9</v>
      </c>
      <c r="F68" s="769"/>
      <c r="G68" s="768"/>
      <c r="H68" s="768"/>
      <c r="I68" s="768">
        <v>15</v>
      </c>
      <c r="J68" s="496">
        <v>10</v>
      </c>
      <c r="K68" s="768"/>
      <c r="L68" s="768"/>
      <c r="M68" s="768"/>
      <c r="N68" s="768"/>
      <c r="O68" s="768">
        <v>1</v>
      </c>
      <c r="P68" s="773"/>
      <c r="Q68" s="773"/>
      <c r="R68" s="773"/>
      <c r="S68" s="773"/>
      <c r="T68" s="773"/>
      <c r="U68" s="773"/>
      <c r="V68" s="773"/>
      <c r="W68" s="773"/>
      <c r="X68" s="773"/>
      <c r="Y68" s="774">
        <f>SUM(G68,I68,K68,M68,P68,R68,T68,V68)</f>
        <v>15</v>
      </c>
      <c r="Z68" s="774">
        <f>SUM(G68,P68)</f>
        <v>0</v>
      </c>
      <c r="AA68" s="774">
        <f>SUM(I68,R68)</f>
        <v>15</v>
      </c>
      <c r="AB68" s="774">
        <v>0</v>
      </c>
      <c r="AC68" s="774">
        <v>0</v>
      </c>
      <c r="AD68" s="774">
        <f>SUM(G68:M68,P68:W68,N68)</f>
        <v>25</v>
      </c>
      <c r="AE68" s="774">
        <f>SUM(O68,X68)</f>
        <v>1</v>
      </c>
    </row>
    <row r="69" spans="1:31" ht="29.25" customHeight="1">
      <c r="A69" s="766" t="s">
        <v>231</v>
      </c>
      <c r="B69" s="485" t="s">
        <v>174</v>
      </c>
      <c r="C69" s="771" t="str">
        <f>"0912-7LEK-F"&amp;A69&amp;"-"&amp;UPPER(LEFT(B69,1))</f>
        <v>0912-7LEK-F49-F</v>
      </c>
      <c r="D69" s="770"/>
      <c r="E69" s="769">
        <v>10</v>
      </c>
      <c r="F69" s="769"/>
      <c r="G69" s="768"/>
      <c r="H69" s="768"/>
      <c r="I69" s="768"/>
      <c r="J69" s="496"/>
      <c r="K69" s="764"/>
      <c r="L69" s="764"/>
      <c r="M69" s="764"/>
      <c r="N69" s="764"/>
      <c r="O69" s="764"/>
      <c r="P69" s="773">
        <v>15</v>
      </c>
      <c r="Q69" s="772">
        <v>10</v>
      </c>
      <c r="R69" s="763"/>
      <c r="S69" s="763"/>
      <c r="T69" s="763"/>
      <c r="U69" s="763"/>
      <c r="V69" s="763"/>
      <c r="W69" s="763"/>
      <c r="X69" s="763">
        <v>1</v>
      </c>
      <c r="Y69" s="492">
        <f>SUM(G69,I69,K69,M69,P69,R69,T69,V69)</f>
        <v>15</v>
      </c>
      <c r="Z69" s="492">
        <f>SUM(G69,P69)</f>
        <v>15</v>
      </c>
      <c r="AA69" s="492">
        <f>SUM(I69,R69)</f>
        <v>0</v>
      </c>
      <c r="AB69" s="492">
        <f>SUM(K69,T69)</f>
        <v>0</v>
      </c>
      <c r="AC69" s="492">
        <f>SUM(M69,V69)</f>
        <v>0</v>
      </c>
      <c r="AD69" s="492">
        <f>SUM(G69:M69,P69:W69,N69)</f>
        <v>25</v>
      </c>
      <c r="AE69" s="492">
        <f>SUM(O69,X69)</f>
        <v>1</v>
      </c>
    </row>
    <row r="70" spans="1:31" ht="29.25" customHeight="1">
      <c r="A70" s="766" t="s">
        <v>232</v>
      </c>
      <c r="B70" s="485" t="s">
        <v>185</v>
      </c>
      <c r="C70" s="771" t="str">
        <f>"0912-7LEK-F"&amp;A70&amp;"-"&amp;UPPER(LEFT(B70,1))</f>
        <v>0912-7LEK-F50-P</v>
      </c>
      <c r="D70" s="770"/>
      <c r="E70" s="769">
        <v>9</v>
      </c>
      <c r="F70" s="769"/>
      <c r="G70" s="768"/>
      <c r="H70" s="768"/>
      <c r="I70" s="768">
        <v>15</v>
      </c>
      <c r="J70" s="496">
        <v>10</v>
      </c>
      <c r="K70" s="764"/>
      <c r="L70" s="764"/>
      <c r="M70" s="764"/>
      <c r="N70" s="764"/>
      <c r="O70" s="764">
        <v>1</v>
      </c>
      <c r="P70" s="763"/>
      <c r="Q70" s="494"/>
      <c r="R70" s="763"/>
      <c r="S70" s="763"/>
      <c r="T70" s="763"/>
      <c r="U70" s="763"/>
      <c r="V70" s="763"/>
      <c r="W70" s="763"/>
      <c r="X70" s="763"/>
      <c r="Y70" s="492">
        <f>SUM(G70,I70,K70,M70,P70,R70,T70,V70)</f>
        <v>15</v>
      </c>
      <c r="Z70" s="492">
        <f>SUM(G70,P70)</f>
        <v>0</v>
      </c>
      <c r="AA70" s="492">
        <f>SUM(I70,R70)</f>
        <v>15</v>
      </c>
      <c r="AB70" s="492">
        <f>SUM(K70,T70)</f>
        <v>0</v>
      </c>
      <c r="AC70" s="492">
        <f>SUM(M70,V70)</f>
        <v>0</v>
      </c>
      <c r="AD70" s="492">
        <f>SUM(G70:M70,P70:W70,N70)</f>
        <v>25</v>
      </c>
      <c r="AE70" s="492">
        <f>SUM(O70,X70)</f>
        <v>1</v>
      </c>
    </row>
    <row r="71" spans="1:31" ht="29.25" customHeight="1">
      <c r="A71" s="766" t="s">
        <v>233</v>
      </c>
      <c r="B71" s="485" t="s">
        <v>173</v>
      </c>
      <c r="C71" s="771" t="str">
        <f>"0912-7LEK-F"&amp;A71&amp;"-"&amp;UPPER(LEFT(B71,1))</f>
        <v>0912-7LEK-F51-R</v>
      </c>
      <c r="D71" s="770"/>
      <c r="E71" s="769">
        <v>9</v>
      </c>
      <c r="F71" s="769"/>
      <c r="G71" s="768"/>
      <c r="H71" s="768"/>
      <c r="I71" s="768">
        <v>15</v>
      </c>
      <c r="J71" s="496">
        <v>10</v>
      </c>
      <c r="K71" s="764"/>
      <c r="L71" s="764"/>
      <c r="M71" s="764"/>
      <c r="N71" s="764"/>
      <c r="O71" s="764">
        <v>1</v>
      </c>
      <c r="P71" s="763"/>
      <c r="Q71" s="494"/>
      <c r="R71" s="763"/>
      <c r="S71" s="763"/>
      <c r="T71" s="763"/>
      <c r="U71" s="763"/>
      <c r="V71" s="763"/>
      <c r="W71" s="763"/>
      <c r="X71" s="763"/>
      <c r="Y71" s="492">
        <f>SUM(G71,I71,K71,M71,P71,R71,T71,V71)</f>
        <v>15</v>
      </c>
      <c r="Z71" s="492">
        <f>SUM(G71,P71)</f>
        <v>0</v>
      </c>
      <c r="AA71" s="492">
        <f>SUM(I71,R71)</f>
        <v>15</v>
      </c>
      <c r="AB71" s="492">
        <f>SUM(K71,T71)</f>
        <v>0</v>
      </c>
      <c r="AC71" s="492">
        <f>SUM(M71,V71)</f>
        <v>0</v>
      </c>
      <c r="AD71" s="492">
        <f>SUM(G71:M71,P71:W71,N71)</f>
        <v>25</v>
      </c>
      <c r="AE71" s="492">
        <f>SUM(O71,X71)</f>
        <v>1</v>
      </c>
    </row>
    <row r="72" spans="1:31" ht="55.5" customHeight="1">
      <c r="A72" s="766" t="s">
        <v>234</v>
      </c>
      <c r="B72" s="485" t="s">
        <v>339</v>
      </c>
      <c r="C72" s="771" t="s">
        <v>340</v>
      </c>
      <c r="D72" s="770"/>
      <c r="E72" s="769">
        <v>10</v>
      </c>
      <c r="F72" s="769"/>
      <c r="G72" s="768"/>
      <c r="H72" s="768"/>
      <c r="I72" s="768"/>
      <c r="J72" s="767"/>
      <c r="K72" s="764"/>
      <c r="L72" s="764"/>
      <c r="M72" s="764"/>
      <c r="N72" s="764"/>
      <c r="O72" s="764"/>
      <c r="P72" s="763">
        <v>15</v>
      </c>
      <c r="Q72" s="494">
        <v>10</v>
      </c>
      <c r="R72" s="763"/>
      <c r="S72" s="763"/>
      <c r="T72" s="763"/>
      <c r="U72" s="763"/>
      <c r="V72" s="763"/>
      <c r="W72" s="763"/>
      <c r="X72" s="763">
        <v>1</v>
      </c>
      <c r="Y72" s="492">
        <f>SUM(Z72:AC72)</f>
        <v>15</v>
      </c>
      <c r="Z72" s="492">
        <f>G72+P72</f>
        <v>15</v>
      </c>
      <c r="AA72" s="492">
        <f>I72+R72</f>
        <v>0</v>
      </c>
      <c r="AB72" s="492">
        <f>K72+T72</f>
        <v>0</v>
      </c>
      <c r="AC72" s="492">
        <f>M72+V72</f>
        <v>0</v>
      </c>
      <c r="AD72" s="492">
        <f>SUM(G72:N72,P72:W72)</f>
        <v>25</v>
      </c>
      <c r="AE72" s="492">
        <f>O72+X72</f>
        <v>1</v>
      </c>
    </row>
    <row r="73" spans="1:31" ht="36" customHeight="1">
      <c r="A73" s="766" t="s">
        <v>235</v>
      </c>
      <c r="B73" s="177" t="s">
        <v>313</v>
      </c>
      <c r="C73" s="500" t="str">
        <f>"0912-7LEK-F"&amp;A73&amp;"-"&amp;UPPER(LEFT(B73,1))</f>
        <v>0912-7LEK-F53-Z</v>
      </c>
      <c r="D73" s="538"/>
      <c r="E73" s="765" t="s">
        <v>247</v>
      </c>
      <c r="F73" s="537"/>
      <c r="G73" s="764"/>
      <c r="H73" s="506"/>
      <c r="I73" s="764">
        <v>30</v>
      </c>
      <c r="J73" s="506">
        <v>20</v>
      </c>
      <c r="K73" s="764"/>
      <c r="L73" s="764"/>
      <c r="M73" s="764"/>
      <c r="N73" s="764"/>
      <c r="O73" s="764">
        <v>2</v>
      </c>
      <c r="P73" s="763"/>
      <c r="Q73" s="494"/>
      <c r="R73" s="763">
        <v>30</v>
      </c>
      <c r="S73" s="494">
        <v>20</v>
      </c>
      <c r="T73" s="763"/>
      <c r="U73" s="763"/>
      <c r="V73" s="763"/>
      <c r="W73" s="763"/>
      <c r="X73" s="763">
        <v>2</v>
      </c>
      <c r="Y73" s="492">
        <f>SUM(G73,I73,K73,M73,P73,R73,T73,V73)</f>
        <v>60</v>
      </c>
      <c r="Z73" s="492">
        <f>SUM(G73,P73)</f>
        <v>0</v>
      </c>
      <c r="AA73" s="492">
        <f>SUM(I73,R73)</f>
        <v>60</v>
      </c>
      <c r="AB73" s="492">
        <f>SUM(K73,T73)</f>
        <v>0</v>
      </c>
      <c r="AC73" s="492">
        <f>SUM(M73,V73)</f>
        <v>0</v>
      </c>
      <c r="AD73" s="492">
        <f>SUM(G73:M73,P73:W73,N73)</f>
        <v>100</v>
      </c>
      <c r="AE73" s="492">
        <f>SUM(O73,X73)</f>
        <v>4</v>
      </c>
    </row>
    <row r="74" spans="1:31" ht="29.25" customHeight="1">
      <c r="A74" s="488"/>
      <c r="B74" s="488"/>
      <c r="C74" s="488"/>
      <c r="D74" s="488"/>
      <c r="E74" s="488"/>
      <c r="F74" s="488"/>
      <c r="G74" s="488"/>
      <c r="H74" s="488"/>
      <c r="I74" s="488"/>
      <c r="J74" s="488"/>
      <c r="K74" s="488"/>
      <c r="L74" s="488"/>
      <c r="M74" s="488"/>
      <c r="N74" s="488"/>
      <c r="O74" s="488"/>
      <c r="P74" s="488"/>
      <c r="Q74" s="488"/>
      <c r="R74" s="488"/>
      <c r="S74" s="488"/>
      <c r="T74" s="488"/>
      <c r="U74" s="488"/>
      <c r="V74" s="488"/>
      <c r="W74" s="488"/>
      <c r="X74" s="488"/>
      <c r="Y74" s="488"/>
      <c r="Z74" s="488"/>
      <c r="AA74" s="488"/>
      <c r="AB74" s="488"/>
      <c r="AC74" s="488"/>
      <c r="AD74" s="488"/>
      <c r="AE74" s="488"/>
    </row>
    <row r="75" spans="1:31">
      <c r="A75" s="488"/>
      <c r="B75" s="488"/>
      <c r="C75" s="488"/>
      <c r="D75" s="488"/>
      <c r="E75" s="488"/>
      <c r="F75" s="488"/>
      <c r="G75" s="488"/>
      <c r="H75" s="488"/>
      <c r="I75" s="488"/>
      <c r="J75" s="488"/>
      <c r="K75" s="488"/>
      <c r="L75" s="488"/>
      <c r="M75" s="488"/>
      <c r="N75" s="488"/>
      <c r="O75" s="488"/>
      <c r="P75" s="488"/>
      <c r="Q75" s="762"/>
      <c r="R75" s="488"/>
      <c r="S75" s="488"/>
      <c r="T75" s="488"/>
      <c r="U75" s="488"/>
      <c r="V75" s="488"/>
      <c r="W75" s="488"/>
      <c r="X75" s="488"/>
      <c r="Y75" s="488"/>
      <c r="Z75" s="488"/>
      <c r="AA75" s="488"/>
      <c r="AB75" s="488"/>
      <c r="AC75" s="488"/>
      <c r="AD75" s="488"/>
      <c r="AE75" s="488"/>
    </row>
    <row r="76" spans="1:31">
      <c r="A76" s="488"/>
      <c r="B76" s="488"/>
      <c r="C76" s="488"/>
      <c r="D76" s="488"/>
      <c r="E76" s="488"/>
      <c r="F76" s="488"/>
      <c r="G76" s="488"/>
      <c r="H76" s="488"/>
      <c r="I76" s="488"/>
      <c r="J76" s="488"/>
      <c r="K76" s="488"/>
      <c r="L76" s="488"/>
      <c r="M76" s="488"/>
      <c r="N76" s="488"/>
      <c r="O76" s="488"/>
      <c r="P76" s="488"/>
      <c r="Q76" s="488"/>
      <c r="R76" s="488"/>
      <c r="S76" s="488"/>
      <c r="T76" s="488"/>
      <c r="U76" s="488"/>
      <c r="V76" s="488"/>
      <c r="W76" s="488"/>
      <c r="X76" s="488"/>
      <c r="Y76" s="488"/>
      <c r="Z76" s="488"/>
      <c r="AA76" s="488"/>
      <c r="AB76" s="488"/>
      <c r="AC76" s="488"/>
      <c r="AD76" s="488"/>
      <c r="AE76" s="488"/>
    </row>
    <row r="77" spans="1:31" ht="18.75">
      <c r="A77" s="488"/>
      <c r="B77" s="488"/>
      <c r="C77" s="488"/>
      <c r="D77" s="488"/>
      <c r="E77" s="488"/>
      <c r="F77" s="488"/>
      <c r="G77" s="488"/>
      <c r="H77" s="488"/>
      <c r="I77" s="488"/>
      <c r="J77" s="488"/>
      <c r="K77" s="488"/>
      <c r="L77" s="488"/>
      <c r="M77" s="488"/>
      <c r="N77" s="761" t="s">
        <v>126</v>
      </c>
      <c r="O77" s="488"/>
      <c r="P77" s="488"/>
      <c r="Q77" s="488"/>
      <c r="R77" s="488"/>
      <c r="S77" s="488"/>
      <c r="T77" s="488"/>
      <c r="U77" s="488"/>
      <c r="V77" s="488"/>
      <c r="W77" s="488"/>
      <c r="X77" s="488"/>
      <c r="Y77" s="488"/>
      <c r="Z77" s="488"/>
      <c r="AA77" s="488"/>
      <c r="AB77" s="488"/>
      <c r="AC77" s="488"/>
      <c r="AD77" s="488"/>
      <c r="AE77" s="488"/>
    </row>
    <row r="78" spans="1:31">
      <c r="A78" s="488"/>
      <c r="B78" s="488"/>
      <c r="C78" s="488"/>
      <c r="D78" s="488"/>
      <c r="E78" s="488"/>
      <c r="F78" s="488"/>
      <c r="G78" s="488"/>
      <c r="H78" s="488"/>
      <c r="I78" s="488"/>
      <c r="J78" s="488"/>
      <c r="K78" s="488"/>
      <c r="L78" s="488"/>
      <c r="M78" s="488"/>
      <c r="N78" s="488"/>
      <c r="O78" s="488"/>
      <c r="P78" s="488"/>
      <c r="Q78" s="488"/>
      <c r="R78" s="488"/>
      <c r="S78" s="488"/>
      <c r="T78" s="488"/>
      <c r="U78" s="488"/>
      <c r="V78" s="488"/>
      <c r="W78" s="488"/>
      <c r="X78" s="488"/>
      <c r="Y78" s="488"/>
      <c r="Z78" s="488"/>
      <c r="AA78" s="488"/>
      <c r="AB78" s="488"/>
      <c r="AC78" s="488"/>
      <c r="AD78" s="488"/>
      <c r="AE78" s="488"/>
    </row>
    <row r="79" spans="1:31">
      <c r="A79" s="488"/>
      <c r="B79" s="488"/>
      <c r="C79" s="488"/>
      <c r="D79" s="488"/>
      <c r="E79" s="488"/>
      <c r="F79" s="488"/>
      <c r="G79" s="488"/>
      <c r="H79" s="488"/>
      <c r="I79" s="488"/>
      <c r="J79" s="488"/>
      <c r="K79" s="488"/>
      <c r="L79" s="488"/>
      <c r="M79" s="488"/>
      <c r="N79" s="488"/>
      <c r="O79" s="488"/>
      <c r="P79" s="488"/>
      <c r="Q79" s="488"/>
      <c r="R79" s="488"/>
      <c r="S79" s="488"/>
      <c r="T79" s="488"/>
      <c r="U79" s="488"/>
      <c r="V79" s="488"/>
      <c r="W79" s="488"/>
      <c r="X79" s="488"/>
      <c r="Y79" s="488"/>
      <c r="Z79" s="488"/>
      <c r="AA79" s="488"/>
      <c r="AB79" s="488"/>
      <c r="AC79" s="488"/>
      <c r="AD79" s="488"/>
      <c r="AE79" s="488"/>
    </row>
    <row r="80" spans="1:31">
      <c r="A80" s="488"/>
      <c r="B80" s="488"/>
      <c r="C80" s="488"/>
      <c r="D80" s="488"/>
      <c r="E80" s="488"/>
      <c r="F80" s="488"/>
      <c r="G80" s="488"/>
      <c r="H80" s="488"/>
      <c r="I80" s="488"/>
      <c r="J80" s="488"/>
      <c r="K80" s="488"/>
      <c r="L80" s="488"/>
      <c r="M80" s="488"/>
      <c r="N80" s="488"/>
      <c r="O80" s="488"/>
      <c r="P80" s="488"/>
      <c r="Q80" s="488"/>
      <c r="R80" s="488"/>
      <c r="S80" s="488"/>
      <c r="T80" s="488"/>
      <c r="U80" s="488"/>
      <c r="V80" s="488"/>
      <c r="W80" s="488"/>
      <c r="X80" s="488"/>
      <c r="Y80" s="488"/>
      <c r="Z80" s="488"/>
      <c r="AA80" s="488"/>
      <c r="AB80" s="488"/>
      <c r="AC80" s="488"/>
      <c r="AD80" s="488"/>
      <c r="AE80" s="488"/>
    </row>
    <row r="81" spans="1:31" ht="45">
      <c r="A81" s="488"/>
      <c r="B81" s="760" t="s">
        <v>314</v>
      </c>
      <c r="C81" s="488"/>
      <c r="D81" s="488"/>
      <c r="E81" s="488"/>
      <c r="F81" s="488"/>
      <c r="G81" s="488"/>
      <c r="H81" s="488"/>
      <c r="I81" s="488"/>
      <c r="J81" s="488"/>
      <c r="K81" s="488"/>
      <c r="L81" s="488"/>
      <c r="M81" s="488"/>
      <c r="N81" s="488"/>
      <c r="O81" s="488"/>
      <c r="P81" s="488"/>
      <c r="Q81" s="488"/>
      <c r="R81" s="488"/>
      <c r="S81" s="488"/>
      <c r="T81" s="488"/>
      <c r="U81" s="488"/>
      <c r="V81" s="488"/>
      <c r="W81" s="488"/>
      <c r="X81" s="488"/>
      <c r="Y81" s="488"/>
      <c r="Z81" s="488"/>
      <c r="AA81" s="488"/>
      <c r="AB81" s="488"/>
      <c r="AC81" s="488"/>
      <c r="AD81" s="488"/>
      <c r="AE81" s="488"/>
    </row>
    <row r="82" spans="1:31">
      <c r="A82" s="488"/>
      <c r="B82" s="488"/>
      <c r="C82" s="488"/>
      <c r="D82" s="488"/>
      <c r="E82" s="488"/>
      <c r="F82" s="488"/>
      <c r="G82" s="488"/>
      <c r="H82" s="488"/>
      <c r="I82" s="488"/>
      <c r="J82" s="488"/>
      <c r="K82" s="488"/>
      <c r="L82" s="488"/>
      <c r="M82" s="488"/>
      <c r="N82" s="488"/>
      <c r="O82" s="488"/>
      <c r="P82" s="488"/>
      <c r="Q82" s="488"/>
      <c r="R82" s="488"/>
      <c r="S82" s="488"/>
      <c r="T82" s="488"/>
      <c r="U82" s="488"/>
      <c r="V82" s="488"/>
      <c r="W82" s="488"/>
      <c r="X82" s="488"/>
      <c r="Y82" s="488"/>
      <c r="Z82" s="488"/>
      <c r="AA82" s="488"/>
      <c r="AB82" s="488"/>
      <c r="AC82" s="488"/>
      <c r="AD82" s="488"/>
      <c r="AE82" s="488"/>
    </row>
    <row r="86" spans="1:31" ht="15" customHeight="1"/>
  </sheetData>
  <mergeCells count="46">
    <mergeCell ref="A12:F12"/>
    <mergeCell ref="B47:D47"/>
    <mergeCell ref="A31:F31"/>
    <mergeCell ref="A18:F18"/>
    <mergeCell ref="A51:AE51"/>
    <mergeCell ref="B46:D46"/>
    <mergeCell ref="B45:D45"/>
    <mergeCell ref="B44:D44"/>
    <mergeCell ref="A49:F49"/>
    <mergeCell ref="A48:F48"/>
    <mergeCell ref="A35:F35"/>
    <mergeCell ref="A39:F39"/>
    <mergeCell ref="A42:F42"/>
    <mergeCell ref="A1:AE1"/>
    <mergeCell ref="G5:AE5"/>
    <mergeCell ref="A5:F5"/>
    <mergeCell ref="A6:A9"/>
    <mergeCell ref="B6:B9"/>
    <mergeCell ref="C6:C9"/>
    <mergeCell ref="D6:F7"/>
    <mergeCell ref="Y6:Y9"/>
    <mergeCell ref="D8:D9"/>
    <mergeCell ref="E8:E9"/>
    <mergeCell ref="F8:F9"/>
    <mergeCell ref="X8:X9"/>
    <mergeCell ref="R8:S8"/>
    <mergeCell ref="T8:U8"/>
    <mergeCell ref="AD6:AD9"/>
    <mergeCell ref="AE6:AE9"/>
    <mergeCell ref="A2:B2"/>
    <mergeCell ref="H2:P2"/>
    <mergeCell ref="A3:B3"/>
    <mergeCell ref="V8:W8"/>
    <mergeCell ref="G6:X6"/>
    <mergeCell ref="G7:O7"/>
    <mergeCell ref="P7:X7"/>
    <mergeCell ref="G8:H8"/>
    <mergeCell ref="I8:J8"/>
    <mergeCell ref="K8:L8"/>
    <mergeCell ref="Z6:Z9"/>
    <mergeCell ref="AA6:AA9"/>
    <mergeCell ref="AB6:AB9"/>
    <mergeCell ref="AC6:AC9"/>
    <mergeCell ref="M8:N8"/>
    <mergeCell ref="O8:O9"/>
    <mergeCell ref="P8:Q8"/>
  </mergeCells>
  <pageMargins left="0.23622047244094491" right="0.23622047244094491" top="0" bottom="0" header="0.31496062992125984" footer="0.31496062992125984"/>
  <pageSetup paperSize="9" scale="46" fitToHeight="0" orientation="landscape" r:id="rId1"/>
  <rowBreaks count="1" manualBreakCount="1">
    <brk id="79" max="16383" man="1"/>
  </rowBreaks>
  <colBreaks count="1" manualBreakCount="1">
    <brk id="3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zoomScale="70" zoomScaleNormal="70" workbookViewId="0">
      <selection sqref="A1:AE1"/>
    </sheetView>
  </sheetViews>
  <sheetFormatPr defaultRowHeight="15"/>
  <cols>
    <col min="1" max="1" width="5.5703125" style="488" customWidth="1"/>
    <col min="2" max="2" width="45.7109375" style="488" customWidth="1"/>
    <col min="3" max="3" width="19.140625" style="488" customWidth="1"/>
    <col min="4" max="4" width="4.140625" style="488" customWidth="1"/>
    <col min="5" max="5" width="5.85546875" style="488" customWidth="1"/>
    <col min="6" max="6" width="5" style="488" customWidth="1"/>
    <col min="7" max="15" width="5.28515625" style="488" customWidth="1"/>
    <col min="16" max="24" width="5.42578125" style="488" customWidth="1"/>
    <col min="25" max="29" width="7.42578125" style="488" customWidth="1"/>
    <col min="30" max="30" width="9.140625" style="488" customWidth="1"/>
    <col min="31" max="31" width="7.42578125" style="488" customWidth="1"/>
    <col min="32" max="16384" width="9.140625" style="488"/>
  </cols>
  <sheetData>
    <row r="1" spans="1:31" ht="25.5">
      <c r="A1" s="682" t="s">
        <v>263</v>
      </c>
      <c r="B1" s="683"/>
      <c r="C1" s="683"/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  <c r="O1" s="683"/>
      <c r="P1" s="683"/>
      <c r="Q1" s="683"/>
      <c r="R1" s="683"/>
      <c r="S1" s="683"/>
      <c r="T1" s="683"/>
      <c r="U1" s="683"/>
      <c r="V1" s="683"/>
      <c r="W1" s="683"/>
      <c r="X1" s="683"/>
      <c r="Y1" s="683"/>
      <c r="Z1" s="683"/>
      <c r="AA1" s="683"/>
      <c r="AB1" s="683"/>
      <c r="AC1" s="683"/>
      <c r="AD1" s="683"/>
      <c r="AE1" s="683"/>
    </row>
    <row r="2" spans="1:31" ht="30">
      <c r="A2" s="684" t="s">
        <v>112</v>
      </c>
      <c r="B2" s="684"/>
      <c r="C2" s="549" t="s">
        <v>113</v>
      </c>
      <c r="D2" s="544"/>
      <c r="E2" s="548"/>
      <c r="F2" s="548"/>
      <c r="G2" s="548"/>
      <c r="H2" s="685" t="s">
        <v>196</v>
      </c>
      <c r="I2" s="685"/>
      <c r="J2" s="685"/>
      <c r="K2" s="685"/>
      <c r="L2" s="685"/>
      <c r="M2" s="685"/>
      <c r="N2" s="685"/>
      <c r="O2" s="685"/>
      <c r="P2" s="685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</row>
    <row r="3" spans="1:31" ht="23.25">
      <c r="A3" s="686" t="s">
        <v>111</v>
      </c>
      <c r="B3" s="686"/>
      <c r="C3" s="547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6"/>
      <c r="T3" s="546"/>
      <c r="U3" s="546"/>
      <c r="V3" s="546"/>
      <c r="W3" s="546"/>
      <c r="X3" s="546"/>
      <c r="Y3" s="546"/>
      <c r="Z3" s="546"/>
      <c r="AA3" s="546"/>
      <c r="AB3" s="546"/>
      <c r="AC3" s="546"/>
      <c r="AD3" s="546"/>
      <c r="AE3" s="546"/>
    </row>
    <row r="4" spans="1:31" ht="23.25">
      <c r="A4" s="545"/>
      <c r="B4" s="544"/>
      <c r="C4" s="543"/>
      <c r="D4" s="542"/>
      <c r="E4" s="541"/>
      <c r="F4" s="542"/>
      <c r="G4" s="541"/>
      <c r="H4" s="542"/>
      <c r="I4" s="541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0"/>
      <c r="W4" s="540"/>
      <c r="X4" s="540"/>
      <c r="Y4" s="540"/>
      <c r="Z4" s="540"/>
      <c r="AA4" s="540"/>
      <c r="AB4" s="540"/>
      <c r="AC4" s="540"/>
      <c r="AD4" s="540"/>
      <c r="AE4" s="540"/>
    </row>
    <row r="5" spans="1:31">
      <c r="A5" s="687"/>
      <c r="B5" s="688"/>
      <c r="C5" s="688"/>
      <c r="D5" s="688"/>
      <c r="E5" s="688"/>
      <c r="F5" s="689"/>
      <c r="G5" s="690" t="s">
        <v>103</v>
      </c>
      <c r="H5" s="690"/>
      <c r="I5" s="690"/>
      <c r="J5" s="690"/>
      <c r="K5" s="690"/>
      <c r="L5" s="690"/>
      <c r="M5" s="690"/>
      <c r="N5" s="690"/>
      <c r="O5" s="690"/>
      <c r="P5" s="690"/>
      <c r="Q5" s="690"/>
      <c r="R5" s="690"/>
      <c r="S5" s="690"/>
      <c r="T5" s="690"/>
      <c r="U5" s="690"/>
      <c r="V5" s="690"/>
      <c r="W5" s="690"/>
      <c r="X5" s="690"/>
      <c r="Y5" s="690"/>
      <c r="Z5" s="690"/>
      <c r="AA5" s="690"/>
      <c r="AB5" s="690"/>
      <c r="AC5" s="690"/>
      <c r="AD5" s="690"/>
      <c r="AE5" s="691"/>
    </row>
    <row r="6" spans="1:31" ht="15.75">
      <c r="A6" s="676" t="s">
        <v>0</v>
      </c>
      <c r="B6" s="678" t="s">
        <v>4</v>
      </c>
      <c r="C6" s="678" t="s">
        <v>1</v>
      </c>
      <c r="D6" s="680" t="s">
        <v>8</v>
      </c>
      <c r="E6" s="680"/>
      <c r="F6" s="680"/>
      <c r="G6" s="539"/>
      <c r="H6" s="539"/>
      <c r="I6" s="539"/>
      <c r="J6" s="539"/>
      <c r="K6" s="539"/>
      <c r="L6" s="539"/>
      <c r="M6" s="539"/>
      <c r="N6" s="539"/>
      <c r="O6" s="539" t="s">
        <v>197</v>
      </c>
      <c r="P6" s="539"/>
      <c r="Q6" s="539"/>
      <c r="R6" s="539"/>
      <c r="S6" s="539"/>
      <c r="T6" s="539"/>
      <c r="U6" s="539"/>
      <c r="V6" s="539"/>
      <c r="W6" s="539"/>
      <c r="X6" s="539"/>
      <c r="Y6" s="660" t="s">
        <v>5</v>
      </c>
      <c r="Z6" s="660" t="s">
        <v>89</v>
      </c>
      <c r="AA6" s="660" t="s">
        <v>88</v>
      </c>
      <c r="AB6" s="660" t="s">
        <v>94</v>
      </c>
      <c r="AC6" s="660" t="s">
        <v>90</v>
      </c>
      <c r="AD6" s="660" t="s">
        <v>14</v>
      </c>
      <c r="AE6" s="660" t="s">
        <v>6</v>
      </c>
    </row>
    <row r="7" spans="1:31">
      <c r="A7" s="676"/>
      <c r="B7" s="678"/>
      <c r="C7" s="678"/>
      <c r="D7" s="680"/>
      <c r="E7" s="680"/>
      <c r="F7" s="680"/>
      <c r="G7" s="670" t="s">
        <v>248</v>
      </c>
      <c r="H7" s="671"/>
      <c r="I7" s="671"/>
      <c r="J7" s="671"/>
      <c r="K7" s="671"/>
      <c r="L7" s="671"/>
      <c r="M7" s="671"/>
      <c r="N7" s="671"/>
      <c r="O7" s="672"/>
      <c r="P7" s="665" t="s">
        <v>249</v>
      </c>
      <c r="Q7" s="673"/>
      <c r="R7" s="673"/>
      <c r="S7" s="673"/>
      <c r="T7" s="673"/>
      <c r="U7" s="673"/>
      <c r="V7" s="673"/>
      <c r="W7" s="673"/>
      <c r="X7" s="666"/>
      <c r="Y7" s="661"/>
      <c r="Z7" s="661"/>
      <c r="AA7" s="661"/>
      <c r="AB7" s="661"/>
      <c r="AC7" s="661"/>
      <c r="AD7" s="661"/>
      <c r="AE7" s="661"/>
    </row>
    <row r="8" spans="1:31">
      <c r="A8" s="677"/>
      <c r="B8" s="679"/>
      <c r="C8" s="679"/>
      <c r="D8" s="679" t="s">
        <v>2</v>
      </c>
      <c r="E8" s="679" t="s">
        <v>13</v>
      </c>
      <c r="F8" s="679" t="s">
        <v>12</v>
      </c>
      <c r="G8" s="670" t="s">
        <v>89</v>
      </c>
      <c r="H8" s="672"/>
      <c r="I8" s="670" t="s">
        <v>88</v>
      </c>
      <c r="J8" s="672"/>
      <c r="K8" s="670" t="s">
        <v>94</v>
      </c>
      <c r="L8" s="672"/>
      <c r="M8" s="670" t="s">
        <v>90</v>
      </c>
      <c r="N8" s="672"/>
      <c r="O8" s="663" t="s">
        <v>7</v>
      </c>
      <c r="P8" s="665" t="s">
        <v>89</v>
      </c>
      <c r="Q8" s="666"/>
      <c r="R8" s="665" t="s">
        <v>88</v>
      </c>
      <c r="S8" s="666"/>
      <c r="T8" s="665" t="s">
        <v>94</v>
      </c>
      <c r="U8" s="666"/>
      <c r="V8" s="665" t="s">
        <v>90</v>
      </c>
      <c r="W8" s="666"/>
      <c r="X8" s="674" t="s">
        <v>7</v>
      </c>
      <c r="Y8" s="661"/>
      <c r="Z8" s="661"/>
      <c r="AA8" s="661"/>
      <c r="AB8" s="661"/>
      <c r="AC8" s="661"/>
      <c r="AD8" s="661"/>
      <c r="AE8" s="661"/>
    </row>
    <row r="9" spans="1:31" ht="39.75">
      <c r="A9" s="677"/>
      <c r="B9" s="679"/>
      <c r="C9" s="679"/>
      <c r="D9" s="681"/>
      <c r="E9" s="681"/>
      <c r="F9" s="681"/>
      <c r="G9" s="535" t="s">
        <v>15</v>
      </c>
      <c r="H9" s="535" t="s">
        <v>16</v>
      </c>
      <c r="I9" s="535" t="s">
        <v>15</v>
      </c>
      <c r="J9" s="535" t="s">
        <v>16</v>
      </c>
      <c r="K9" s="535" t="s">
        <v>15</v>
      </c>
      <c r="L9" s="535" t="s">
        <v>16</v>
      </c>
      <c r="M9" s="535" t="s">
        <v>15</v>
      </c>
      <c r="N9" s="535" t="s">
        <v>16</v>
      </c>
      <c r="O9" s="664"/>
      <c r="P9" s="534" t="s">
        <v>15</v>
      </c>
      <c r="Q9" s="534" t="s">
        <v>16</v>
      </c>
      <c r="R9" s="534" t="s">
        <v>15</v>
      </c>
      <c r="S9" s="534" t="s">
        <v>16</v>
      </c>
      <c r="T9" s="534" t="s">
        <v>15</v>
      </c>
      <c r="U9" s="534" t="s">
        <v>16</v>
      </c>
      <c r="V9" s="534" t="s">
        <v>15</v>
      </c>
      <c r="W9" s="534" t="s">
        <v>16</v>
      </c>
      <c r="X9" s="675"/>
      <c r="Y9" s="661"/>
      <c r="Z9" s="661"/>
      <c r="AA9" s="661"/>
      <c r="AB9" s="661"/>
      <c r="AC9" s="661"/>
      <c r="AD9" s="661"/>
      <c r="AE9" s="661"/>
    </row>
    <row r="10" spans="1:31" s="530" customFormat="1">
      <c r="A10" s="533" t="s">
        <v>198</v>
      </c>
      <c r="B10" s="532"/>
      <c r="C10" s="532"/>
      <c r="D10" s="532"/>
      <c r="E10" s="532"/>
      <c r="F10" s="532"/>
      <c r="G10" s="532"/>
      <c r="H10" s="532"/>
      <c r="I10" s="532"/>
      <c r="J10" s="532"/>
      <c r="K10" s="532"/>
      <c r="L10" s="532"/>
      <c r="M10" s="532"/>
      <c r="N10" s="532"/>
      <c r="O10" s="532"/>
      <c r="P10" s="532"/>
      <c r="Q10" s="532"/>
      <c r="R10" s="532"/>
      <c r="S10" s="532"/>
      <c r="T10" s="532"/>
      <c r="U10" s="532"/>
      <c r="V10" s="532"/>
      <c r="W10" s="532"/>
      <c r="X10" s="532"/>
      <c r="Y10" s="532"/>
      <c r="Z10" s="532"/>
      <c r="AA10" s="532"/>
      <c r="AB10" s="532"/>
      <c r="AC10" s="532"/>
      <c r="AD10" s="532"/>
      <c r="AE10" s="531"/>
    </row>
    <row r="11" spans="1:31" ht="15.75">
      <c r="A11" s="529">
        <v>8.1</v>
      </c>
      <c r="B11" s="528" t="s">
        <v>80</v>
      </c>
      <c r="C11" s="509" t="str">
        <f>[2]RAZEM!C71</f>
        <v>0912-7LEK-C8,1-C</v>
      </c>
      <c r="D11" s="527">
        <v>11</v>
      </c>
      <c r="E11" s="526">
        <v>11</v>
      </c>
      <c r="F11" s="526"/>
      <c r="G11" s="524"/>
      <c r="H11" s="524"/>
      <c r="I11" s="524"/>
      <c r="J11" s="524"/>
      <c r="K11" s="524">
        <v>240</v>
      </c>
      <c r="L11" s="525">
        <v>160</v>
      </c>
      <c r="M11" s="524"/>
      <c r="N11" s="524"/>
      <c r="O11" s="524">
        <v>16</v>
      </c>
      <c r="P11" s="522"/>
      <c r="Q11" s="523"/>
      <c r="R11" s="522"/>
      <c r="S11" s="523"/>
      <c r="T11" s="522"/>
      <c r="U11" s="522"/>
      <c r="V11" s="522"/>
      <c r="W11" s="523"/>
      <c r="X11" s="522"/>
      <c r="Y11" s="521">
        <f t="shared" ref="Y11:Y18" si="0">SUM(G11,I11,K11,M11,P11,R11,T11,V11)</f>
        <v>240</v>
      </c>
      <c r="Z11" s="521">
        <f t="shared" ref="Z11:Z18" si="1">SUM(G11,P11)</f>
        <v>0</v>
      </c>
      <c r="AA11" s="521">
        <f t="shared" ref="AA11:AA18" si="2">SUM(I11,R11)</f>
        <v>0</v>
      </c>
      <c r="AB11" s="521">
        <f t="shared" ref="AB11:AB18" si="3">SUM(K11,T11)</f>
        <v>240</v>
      </c>
      <c r="AC11" s="521">
        <f t="shared" ref="AC11:AC18" si="4">SUM(M11,V11)</f>
        <v>0</v>
      </c>
      <c r="AD11" s="521">
        <f t="shared" ref="AD11:AD18" si="5">SUM(G11:N11,P11:W11)</f>
        <v>400</v>
      </c>
      <c r="AE11" s="521">
        <f t="shared" ref="AE11:AE18" si="6">SUM(O11,X11)</f>
        <v>16</v>
      </c>
    </row>
    <row r="12" spans="1:31" ht="15.75">
      <c r="A12" s="520">
        <v>8.1999999999999993</v>
      </c>
      <c r="B12" s="501" t="s">
        <v>51</v>
      </c>
      <c r="C12" s="509" t="str">
        <f>[2]RAZEM!C72</f>
        <v>0912-7LEK-C8,2-P</v>
      </c>
      <c r="D12" s="499">
        <v>11</v>
      </c>
      <c r="E12" s="497">
        <v>11</v>
      </c>
      <c r="F12" s="497"/>
      <c r="G12" s="495"/>
      <c r="H12" s="495"/>
      <c r="I12" s="495"/>
      <c r="J12" s="495"/>
      <c r="K12" s="495">
        <v>120</v>
      </c>
      <c r="L12" s="506">
        <v>80</v>
      </c>
      <c r="M12" s="495"/>
      <c r="N12" s="495"/>
      <c r="O12" s="495">
        <v>8</v>
      </c>
      <c r="P12" s="493"/>
      <c r="Q12" s="494"/>
      <c r="R12" s="493"/>
      <c r="S12" s="494"/>
      <c r="T12" s="493"/>
      <c r="U12" s="493"/>
      <c r="V12" s="493"/>
      <c r="W12" s="494"/>
      <c r="X12" s="493"/>
      <c r="Y12" s="492">
        <f t="shared" si="0"/>
        <v>120</v>
      </c>
      <c r="Z12" s="492">
        <f t="shared" si="1"/>
        <v>0</v>
      </c>
      <c r="AA12" s="492">
        <f t="shared" si="2"/>
        <v>0</v>
      </c>
      <c r="AB12" s="492">
        <f t="shared" si="3"/>
        <v>120</v>
      </c>
      <c r="AC12" s="492">
        <f t="shared" si="4"/>
        <v>0</v>
      </c>
      <c r="AD12" s="492">
        <f t="shared" si="5"/>
        <v>200</v>
      </c>
      <c r="AE12" s="492">
        <f t="shared" si="6"/>
        <v>8</v>
      </c>
    </row>
    <row r="13" spans="1:31" ht="15.75">
      <c r="A13" s="520">
        <v>8.3000000000000007</v>
      </c>
      <c r="B13" s="501" t="s">
        <v>81</v>
      </c>
      <c r="C13" s="509" t="str">
        <f>[2]RAZEM!C73</f>
        <v>0912-7LEK-C8,3-C</v>
      </c>
      <c r="D13" s="499">
        <v>12</v>
      </c>
      <c r="E13" s="497" t="s">
        <v>32</v>
      </c>
      <c r="F13" s="497"/>
      <c r="G13" s="495"/>
      <c r="H13" s="495"/>
      <c r="I13" s="495"/>
      <c r="J13" s="495"/>
      <c r="K13" s="495">
        <v>60</v>
      </c>
      <c r="L13" s="506">
        <v>40</v>
      </c>
      <c r="M13" s="495"/>
      <c r="N13" s="495"/>
      <c r="O13" s="495">
        <v>4</v>
      </c>
      <c r="P13" s="493"/>
      <c r="Q13" s="494"/>
      <c r="R13" s="493"/>
      <c r="S13" s="494"/>
      <c r="T13" s="493">
        <v>60</v>
      </c>
      <c r="U13" s="494">
        <v>40</v>
      </c>
      <c r="V13" s="493"/>
      <c r="W13" s="494"/>
      <c r="X13" s="493">
        <v>4</v>
      </c>
      <c r="Y13" s="492">
        <f t="shared" si="0"/>
        <v>120</v>
      </c>
      <c r="Z13" s="492">
        <f t="shared" si="1"/>
        <v>0</v>
      </c>
      <c r="AA13" s="492">
        <f t="shared" si="2"/>
        <v>0</v>
      </c>
      <c r="AB13" s="492">
        <f t="shared" si="3"/>
        <v>120</v>
      </c>
      <c r="AC13" s="492">
        <f t="shared" si="4"/>
        <v>0</v>
      </c>
      <c r="AD13" s="492">
        <f t="shared" si="5"/>
        <v>200</v>
      </c>
      <c r="AE13" s="492">
        <f t="shared" si="6"/>
        <v>8</v>
      </c>
    </row>
    <row r="14" spans="1:31" ht="15.75">
      <c r="A14" s="520">
        <v>8.4</v>
      </c>
      <c r="B14" s="501" t="s">
        <v>70</v>
      </c>
      <c r="C14" s="509" t="str">
        <f>[2]RAZEM!C74</f>
        <v>0912-7LEK-C8,4-G</v>
      </c>
      <c r="D14" s="499">
        <v>12</v>
      </c>
      <c r="E14" s="497">
        <v>12</v>
      </c>
      <c r="F14" s="497"/>
      <c r="G14" s="495"/>
      <c r="H14" s="495"/>
      <c r="I14" s="495"/>
      <c r="J14" s="495"/>
      <c r="K14" s="495"/>
      <c r="L14" s="495"/>
      <c r="M14" s="495"/>
      <c r="N14" s="495"/>
      <c r="O14" s="495"/>
      <c r="P14" s="493"/>
      <c r="Q14" s="494"/>
      <c r="R14" s="493"/>
      <c r="S14" s="494"/>
      <c r="T14" s="493">
        <v>60</v>
      </c>
      <c r="U14" s="494">
        <v>40</v>
      </c>
      <c r="V14" s="493"/>
      <c r="W14" s="494"/>
      <c r="X14" s="493">
        <v>4</v>
      </c>
      <c r="Y14" s="492">
        <f t="shared" si="0"/>
        <v>60</v>
      </c>
      <c r="Z14" s="492">
        <f t="shared" si="1"/>
        <v>0</v>
      </c>
      <c r="AA14" s="492">
        <f t="shared" si="2"/>
        <v>0</v>
      </c>
      <c r="AB14" s="492">
        <f t="shared" si="3"/>
        <v>60</v>
      </c>
      <c r="AC14" s="492">
        <f t="shared" si="4"/>
        <v>0</v>
      </c>
      <c r="AD14" s="492">
        <f t="shared" si="5"/>
        <v>100</v>
      </c>
      <c r="AE14" s="492">
        <f t="shared" si="6"/>
        <v>4</v>
      </c>
    </row>
    <row r="15" spans="1:31" ht="15.75">
      <c r="A15" s="520">
        <v>8.5</v>
      </c>
      <c r="B15" s="501" t="s">
        <v>54</v>
      </c>
      <c r="C15" s="509" t="str">
        <f>[2]RAZEM!C75</f>
        <v>0912-7LEK-C8,5-P</v>
      </c>
      <c r="D15" s="499">
        <v>11</v>
      </c>
      <c r="E15" s="497">
        <v>11</v>
      </c>
      <c r="F15" s="497"/>
      <c r="G15" s="495"/>
      <c r="H15" s="495"/>
      <c r="I15" s="495"/>
      <c r="J15" s="495"/>
      <c r="K15" s="495">
        <v>60</v>
      </c>
      <c r="L15" s="495">
        <v>40</v>
      </c>
      <c r="M15" s="495"/>
      <c r="N15" s="495"/>
      <c r="O15" s="495">
        <v>4</v>
      </c>
      <c r="P15" s="493"/>
      <c r="Q15" s="494"/>
      <c r="R15" s="493"/>
      <c r="S15" s="494"/>
      <c r="T15" s="493"/>
      <c r="U15" s="494"/>
      <c r="V15" s="493"/>
      <c r="W15" s="494"/>
      <c r="X15" s="493"/>
      <c r="Y15" s="492">
        <f t="shared" si="0"/>
        <v>60</v>
      </c>
      <c r="Z15" s="492">
        <f t="shared" si="1"/>
        <v>0</v>
      </c>
      <c r="AA15" s="492">
        <f t="shared" si="2"/>
        <v>0</v>
      </c>
      <c r="AB15" s="492">
        <f t="shared" si="3"/>
        <v>60</v>
      </c>
      <c r="AC15" s="492">
        <f t="shared" si="4"/>
        <v>0</v>
      </c>
      <c r="AD15" s="492">
        <f t="shared" si="5"/>
        <v>100</v>
      </c>
      <c r="AE15" s="492">
        <f t="shared" si="6"/>
        <v>4</v>
      </c>
    </row>
    <row r="16" spans="1:31" ht="15.75">
      <c r="A16" s="520">
        <v>8.6</v>
      </c>
      <c r="B16" s="501" t="s">
        <v>82</v>
      </c>
      <c r="C16" s="509" t="str">
        <f>[2]RAZEM!C76</f>
        <v>0912-7LEK-C8,6-MR</v>
      </c>
      <c r="D16" s="499">
        <v>12</v>
      </c>
      <c r="E16" s="497">
        <v>12</v>
      </c>
      <c r="F16" s="497"/>
      <c r="G16" s="495"/>
      <c r="H16" s="495"/>
      <c r="I16" s="495"/>
      <c r="J16" s="495"/>
      <c r="K16" s="495"/>
      <c r="L16" s="495"/>
      <c r="M16" s="495"/>
      <c r="N16" s="495"/>
      <c r="O16" s="495"/>
      <c r="P16" s="493"/>
      <c r="Q16" s="494"/>
      <c r="R16" s="493"/>
      <c r="S16" s="494"/>
      <c r="T16" s="493">
        <v>60</v>
      </c>
      <c r="U16" s="494">
        <v>40</v>
      </c>
      <c r="V16" s="493"/>
      <c r="W16" s="494"/>
      <c r="X16" s="493">
        <v>4</v>
      </c>
      <c r="Y16" s="492">
        <f t="shared" si="0"/>
        <v>60</v>
      </c>
      <c r="Z16" s="492">
        <f t="shared" si="1"/>
        <v>0</v>
      </c>
      <c r="AA16" s="492">
        <f t="shared" si="2"/>
        <v>0</v>
      </c>
      <c r="AB16" s="492">
        <f t="shared" si="3"/>
        <v>60</v>
      </c>
      <c r="AC16" s="492">
        <f t="shared" si="4"/>
        <v>0</v>
      </c>
      <c r="AD16" s="492">
        <f t="shared" si="5"/>
        <v>100</v>
      </c>
      <c r="AE16" s="492">
        <f t="shared" si="6"/>
        <v>4</v>
      </c>
    </row>
    <row r="17" spans="1:31" ht="15.75">
      <c r="A17" s="520">
        <v>8.6999999999999993</v>
      </c>
      <c r="B17" s="501" t="s">
        <v>56</v>
      </c>
      <c r="C17" s="509" t="str">
        <f>[2]RAZEM!C77</f>
        <v>0912-7LEK-C8,7-M</v>
      </c>
      <c r="D17" s="499">
        <v>12</v>
      </c>
      <c r="E17" s="497">
        <v>12</v>
      </c>
      <c r="F17" s="497"/>
      <c r="G17" s="495"/>
      <c r="H17" s="495"/>
      <c r="I17" s="495"/>
      <c r="J17" s="495"/>
      <c r="K17" s="495"/>
      <c r="L17" s="495"/>
      <c r="M17" s="495"/>
      <c r="N17" s="495"/>
      <c r="O17" s="495"/>
      <c r="P17" s="493"/>
      <c r="Q17" s="494"/>
      <c r="R17" s="493"/>
      <c r="S17" s="494"/>
      <c r="T17" s="493">
        <v>60</v>
      </c>
      <c r="U17" s="494">
        <v>40</v>
      </c>
      <c r="V17" s="493"/>
      <c r="W17" s="494"/>
      <c r="X17" s="493">
        <v>4</v>
      </c>
      <c r="Y17" s="492">
        <f t="shared" si="0"/>
        <v>60</v>
      </c>
      <c r="Z17" s="492">
        <f t="shared" si="1"/>
        <v>0</v>
      </c>
      <c r="AA17" s="492">
        <f t="shared" si="2"/>
        <v>0</v>
      </c>
      <c r="AB17" s="492">
        <f t="shared" si="3"/>
        <v>60</v>
      </c>
      <c r="AC17" s="492">
        <f t="shared" si="4"/>
        <v>0</v>
      </c>
      <c r="AD17" s="492">
        <f t="shared" si="5"/>
        <v>100</v>
      </c>
      <c r="AE17" s="492">
        <f t="shared" si="6"/>
        <v>4</v>
      </c>
    </row>
    <row r="18" spans="1:31" ht="15.75">
      <c r="A18" s="520">
        <v>8.8000000000000007</v>
      </c>
      <c r="B18" s="501" t="s">
        <v>364</v>
      </c>
      <c r="C18" s="509" t="str">
        <f>[2]RAZEM!C78</f>
        <v>0912-7LEK-C8,8-S</v>
      </c>
      <c r="D18" s="499"/>
      <c r="E18" s="519">
        <v>12</v>
      </c>
      <c r="F18" s="497"/>
      <c r="G18" s="495"/>
      <c r="H18" s="495"/>
      <c r="I18" s="495"/>
      <c r="J18" s="495"/>
      <c r="K18" s="495"/>
      <c r="L18" s="495"/>
      <c r="M18" s="495"/>
      <c r="N18" s="495"/>
      <c r="O18" s="495"/>
      <c r="P18" s="493"/>
      <c r="Q18" s="494"/>
      <c r="R18" s="493"/>
      <c r="S18" s="494"/>
      <c r="T18" s="493">
        <v>180</v>
      </c>
      <c r="U18" s="494">
        <v>120</v>
      </c>
      <c r="V18" s="493"/>
      <c r="W18" s="494"/>
      <c r="X18" s="493">
        <v>12</v>
      </c>
      <c r="Y18" s="492">
        <f t="shared" si="0"/>
        <v>180</v>
      </c>
      <c r="Z18" s="492">
        <f t="shared" si="1"/>
        <v>0</v>
      </c>
      <c r="AA18" s="492">
        <f t="shared" si="2"/>
        <v>0</v>
      </c>
      <c r="AB18" s="492">
        <f t="shared" si="3"/>
        <v>180</v>
      </c>
      <c r="AC18" s="492">
        <f t="shared" si="4"/>
        <v>0</v>
      </c>
      <c r="AD18" s="492">
        <f t="shared" si="5"/>
        <v>300</v>
      </c>
      <c r="AE18" s="492">
        <f t="shared" si="6"/>
        <v>12</v>
      </c>
    </row>
    <row r="19" spans="1:31" ht="15.75">
      <c r="A19" s="667" t="s">
        <v>9</v>
      </c>
      <c r="B19" s="668"/>
      <c r="C19" s="668"/>
      <c r="D19" s="668"/>
      <c r="E19" s="668"/>
      <c r="F19" s="669"/>
      <c r="G19" s="503">
        <f t="shared" ref="G19:AE19" si="7">SUM(G11:G18)</f>
        <v>0</v>
      </c>
      <c r="H19" s="504">
        <f t="shared" si="7"/>
        <v>0</v>
      </c>
      <c r="I19" s="503">
        <f t="shared" si="7"/>
        <v>0</v>
      </c>
      <c r="J19" s="504">
        <f t="shared" si="7"/>
        <v>0</v>
      </c>
      <c r="K19" s="503">
        <f t="shared" si="7"/>
        <v>480</v>
      </c>
      <c r="L19" s="504">
        <f t="shared" si="7"/>
        <v>320</v>
      </c>
      <c r="M19" s="503">
        <f t="shared" si="7"/>
        <v>0</v>
      </c>
      <c r="N19" s="504">
        <f t="shared" si="7"/>
        <v>0</v>
      </c>
      <c r="O19" s="503">
        <f t="shared" si="7"/>
        <v>32</v>
      </c>
      <c r="P19" s="503">
        <f t="shared" si="7"/>
        <v>0</v>
      </c>
      <c r="Q19" s="504">
        <f t="shared" si="7"/>
        <v>0</v>
      </c>
      <c r="R19" s="503">
        <f t="shared" si="7"/>
        <v>0</v>
      </c>
      <c r="S19" s="504">
        <f t="shared" si="7"/>
        <v>0</v>
      </c>
      <c r="T19" s="503">
        <f t="shared" si="7"/>
        <v>420</v>
      </c>
      <c r="U19" s="504">
        <f t="shared" si="7"/>
        <v>280</v>
      </c>
      <c r="V19" s="503">
        <f t="shared" si="7"/>
        <v>0</v>
      </c>
      <c r="W19" s="504">
        <f t="shared" si="7"/>
        <v>0</v>
      </c>
      <c r="X19" s="503">
        <f t="shared" si="7"/>
        <v>28</v>
      </c>
      <c r="Y19" s="503">
        <f t="shared" si="7"/>
        <v>900</v>
      </c>
      <c r="Z19" s="503">
        <f t="shared" si="7"/>
        <v>0</v>
      </c>
      <c r="AA19" s="503">
        <f t="shared" si="7"/>
        <v>0</v>
      </c>
      <c r="AB19" s="503">
        <f t="shared" si="7"/>
        <v>900</v>
      </c>
      <c r="AC19" s="503">
        <f t="shared" si="7"/>
        <v>0</v>
      </c>
      <c r="AD19" s="503">
        <f t="shared" si="7"/>
        <v>1500</v>
      </c>
      <c r="AE19" s="503">
        <f t="shared" si="7"/>
        <v>60</v>
      </c>
    </row>
    <row r="20" spans="1:31" ht="15.75">
      <c r="A20" s="518" t="s">
        <v>311</v>
      </c>
      <c r="B20" s="517"/>
      <c r="C20" s="516"/>
      <c r="D20" s="515"/>
      <c r="E20" s="515"/>
      <c r="F20" s="515"/>
      <c r="G20" s="513"/>
      <c r="H20" s="513"/>
      <c r="I20" s="513"/>
      <c r="J20" s="513"/>
      <c r="K20" s="513"/>
      <c r="L20" s="514"/>
      <c r="M20" s="513"/>
      <c r="N20" s="513"/>
      <c r="O20" s="513"/>
      <c r="P20" s="513"/>
      <c r="Q20" s="513"/>
      <c r="R20" s="513"/>
      <c r="S20" s="513"/>
      <c r="T20" s="513"/>
      <c r="U20" s="513"/>
      <c r="V20" s="513"/>
      <c r="W20" s="513"/>
      <c r="X20" s="513"/>
      <c r="Y20" s="513"/>
      <c r="Z20" s="513"/>
      <c r="AA20" s="513"/>
      <c r="AB20" s="513"/>
      <c r="AC20" s="513"/>
      <c r="AD20" s="513"/>
      <c r="AE20" s="512"/>
    </row>
    <row r="21" spans="1:31" ht="15.75">
      <c r="A21" s="511">
        <v>11.3</v>
      </c>
      <c r="B21" s="510" t="s">
        <v>109</v>
      </c>
      <c r="C21" s="509" t="str">
        <f>"0912-7LEK-A"&amp;A21&amp;"-"&amp;UPPER(LEFT(B21,1))&amp;"F"</f>
        <v>0912-7LEK-A11,3-WF</v>
      </c>
      <c r="D21" s="508"/>
      <c r="E21" s="507"/>
      <c r="F21" s="498" t="s">
        <v>123</v>
      </c>
      <c r="G21" s="495"/>
      <c r="H21" s="506"/>
      <c r="I21" s="495">
        <v>15</v>
      </c>
      <c r="J21" s="506"/>
      <c r="K21" s="495"/>
      <c r="L21" s="506"/>
      <c r="M21" s="495"/>
      <c r="N21" s="506"/>
      <c r="O21" s="495">
        <v>0</v>
      </c>
      <c r="P21" s="493"/>
      <c r="Q21" s="494"/>
      <c r="R21" s="493">
        <v>15</v>
      </c>
      <c r="S21" s="494"/>
      <c r="T21" s="493"/>
      <c r="U21" s="494"/>
      <c r="V21" s="493"/>
      <c r="W21" s="494"/>
      <c r="X21" s="493">
        <v>0</v>
      </c>
      <c r="Y21" s="505">
        <f>SUM(G21,I21,K21,M21,P21,R21,T21,V21)</f>
        <v>30</v>
      </c>
      <c r="Z21" s="505">
        <f>SUM(G21,P21)</f>
        <v>0</v>
      </c>
      <c r="AA21" s="505">
        <f>SUM(I21,R21)</f>
        <v>30</v>
      </c>
      <c r="AB21" s="505">
        <f>SUM(K21,T21)</f>
        <v>0</v>
      </c>
      <c r="AC21" s="505">
        <f>SUM(M21,V21)</f>
        <v>0</v>
      </c>
      <c r="AD21" s="505">
        <f>SUM(G21:N21,P21:W21)</f>
        <v>30</v>
      </c>
      <c r="AE21" s="505">
        <f>SUM(O21,X21)</f>
        <v>0</v>
      </c>
    </row>
    <row r="22" spans="1:31" ht="15.75">
      <c r="A22" s="667" t="s">
        <v>9</v>
      </c>
      <c r="B22" s="668"/>
      <c r="C22" s="668"/>
      <c r="D22" s="668"/>
      <c r="E22" s="668"/>
      <c r="F22" s="669"/>
      <c r="G22" s="503">
        <f>SUM(G21)</f>
        <v>0</v>
      </c>
      <c r="H22" s="504">
        <f>SUM(H21)</f>
        <v>0</v>
      </c>
      <c r="I22" s="503">
        <f>SUM(I21)</f>
        <v>15</v>
      </c>
      <c r="J22" s="504">
        <f t="shared" ref="J22:AE22" si="8">SUM(J21:J21)</f>
        <v>0</v>
      </c>
      <c r="K22" s="503">
        <f t="shared" si="8"/>
        <v>0</v>
      </c>
      <c r="L22" s="504">
        <f t="shared" si="8"/>
        <v>0</v>
      </c>
      <c r="M22" s="503">
        <f t="shared" si="8"/>
        <v>0</v>
      </c>
      <c r="N22" s="504">
        <f t="shared" si="8"/>
        <v>0</v>
      </c>
      <c r="O22" s="503">
        <f t="shared" si="8"/>
        <v>0</v>
      </c>
      <c r="P22" s="503">
        <f t="shared" si="8"/>
        <v>0</v>
      </c>
      <c r="Q22" s="504">
        <f t="shared" si="8"/>
        <v>0</v>
      </c>
      <c r="R22" s="503">
        <f t="shared" si="8"/>
        <v>15</v>
      </c>
      <c r="S22" s="504">
        <f t="shared" si="8"/>
        <v>0</v>
      </c>
      <c r="T22" s="503">
        <f t="shared" si="8"/>
        <v>0</v>
      </c>
      <c r="U22" s="504">
        <f t="shared" si="8"/>
        <v>0</v>
      </c>
      <c r="V22" s="503">
        <f t="shared" si="8"/>
        <v>0</v>
      </c>
      <c r="W22" s="504">
        <f t="shared" si="8"/>
        <v>0</v>
      </c>
      <c r="X22" s="503">
        <f t="shared" si="8"/>
        <v>0</v>
      </c>
      <c r="Y22" s="503">
        <f t="shared" si="8"/>
        <v>30</v>
      </c>
      <c r="Z22" s="503">
        <f t="shared" si="8"/>
        <v>0</v>
      </c>
      <c r="AA22" s="503">
        <f t="shared" si="8"/>
        <v>30</v>
      </c>
      <c r="AB22" s="503">
        <f t="shared" si="8"/>
        <v>0</v>
      </c>
      <c r="AC22" s="503">
        <f t="shared" si="8"/>
        <v>0</v>
      </c>
      <c r="AD22" s="503">
        <f t="shared" si="8"/>
        <v>30</v>
      </c>
      <c r="AE22" s="503">
        <f t="shared" si="8"/>
        <v>0</v>
      </c>
    </row>
    <row r="23" spans="1:31">
      <c r="A23" s="651" t="s">
        <v>315</v>
      </c>
      <c r="B23" s="652"/>
      <c r="C23" s="652"/>
      <c r="D23" s="652"/>
      <c r="E23" s="652"/>
      <c r="F23" s="652"/>
      <c r="G23" s="652"/>
      <c r="H23" s="652"/>
      <c r="I23" s="652"/>
      <c r="J23" s="652"/>
      <c r="K23" s="652"/>
      <c r="L23" s="652"/>
      <c r="M23" s="652"/>
      <c r="N23" s="652"/>
      <c r="O23" s="652"/>
      <c r="P23" s="652"/>
      <c r="Q23" s="652"/>
      <c r="R23" s="652"/>
      <c r="S23" s="652"/>
      <c r="T23" s="652"/>
      <c r="U23" s="652"/>
      <c r="V23" s="652"/>
      <c r="W23" s="652"/>
      <c r="X23" s="652"/>
      <c r="Y23" s="652"/>
      <c r="Z23" s="652"/>
      <c r="AA23" s="652"/>
      <c r="AB23" s="652"/>
      <c r="AC23" s="652"/>
      <c r="AD23" s="652"/>
      <c r="AE23" s="653"/>
    </row>
    <row r="24" spans="1:31" ht="31.5">
      <c r="A24" s="502" t="s">
        <v>193</v>
      </c>
      <c r="B24" s="501" t="s">
        <v>257</v>
      </c>
      <c r="C24" s="500" t="str">
        <f>"0912-7LEK-F"&amp;A24&amp;"-"&amp;UPPER(LEFT(B24,1))</f>
        <v>0912-7LEK-F23-Z</v>
      </c>
      <c r="D24" s="499"/>
      <c r="E24" s="498" t="s">
        <v>253</v>
      </c>
      <c r="F24" s="497"/>
      <c r="G24" s="495"/>
      <c r="H24" s="495"/>
      <c r="I24" s="495">
        <v>30</v>
      </c>
      <c r="J24" s="496">
        <v>20</v>
      </c>
      <c r="K24" s="495"/>
      <c r="L24" s="495"/>
      <c r="M24" s="495"/>
      <c r="N24" s="495"/>
      <c r="O24" s="495">
        <v>2</v>
      </c>
      <c r="P24" s="493"/>
      <c r="Q24" s="494"/>
      <c r="R24" s="493">
        <v>30</v>
      </c>
      <c r="S24" s="494">
        <v>20</v>
      </c>
      <c r="T24" s="493"/>
      <c r="U24" s="494"/>
      <c r="V24" s="493"/>
      <c r="W24" s="494"/>
      <c r="X24" s="493">
        <v>2</v>
      </c>
      <c r="Y24" s="492">
        <f>SUM(G24,I24,K24,M24,P24,R24,T24,V24)</f>
        <v>60</v>
      </c>
      <c r="Z24" s="492">
        <f>SUM(G24,P24)</f>
        <v>0</v>
      </c>
      <c r="AA24" s="492">
        <f>SUM(I24,R24)</f>
        <v>60</v>
      </c>
      <c r="AB24" s="492">
        <f>SUM(K24,T24)</f>
        <v>0</v>
      </c>
      <c r="AC24" s="492">
        <f>SUM(M24,V24)</f>
        <v>0</v>
      </c>
      <c r="AD24" s="492">
        <f>SUM(G24:M24,P24:W24,N24)</f>
        <v>100</v>
      </c>
      <c r="AE24" s="492">
        <f>SUM(O24,X24)</f>
        <v>4</v>
      </c>
    </row>
    <row r="25" spans="1:31" ht="16.5" thickBot="1">
      <c r="A25" s="654" t="s">
        <v>9</v>
      </c>
      <c r="B25" s="655"/>
      <c r="C25" s="655"/>
      <c r="D25" s="655"/>
      <c r="E25" s="655"/>
      <c r="F25" s="656"/>
      <c r="G25" s="491">
        <f t="shared" ref="G25:AE25" si="9">SUM(G24:G24)</f>
        <v>0</v>
      </c>
      <c r="H25" s="491">
        <f t="shared" si="9"/>
        <v>0</v>
      </c>
      <c r="I25" s="491">
        <f t="shared" si="9"/>
        <v>30</v>
      </c>
      <c r="J25" s="491">
        <f t="shared" si="9"/>
        <v>20</v>
      </c>
      <c r="K25" s="491">
        <f t="shared" si="9"/>
        <v>0</v>
      </c>
      <c r="L25" s="491">
        <f t="shared" si="9"/>
        <v>0</v>
      </c>
      <c r="M25" s="491">
        <f t="shared" si="9"/>
        <v>0</v>
      </c>
      <c r="N25" s="491">
        <f t="shared" si="9"/>
        <v>0</v>
      </c>
      <c r="O25" s="491">
        <f t="shared" si="9"/>
        <v>2</v>
      </c>
      <c r="P25" s="491">
        <f t="shared" si="9"/>
        <v>0</v>
      </c>
      <c r="Q25" s="491">
        <f t="shared" si="9"/>
        <v>0</v>
      </c>
      <c r="R25" s="491">
        <f t="shared" si="9"/>
        <v>30</v>
      </c>
      <c r="S25" s="491">
        <f t="shared" si="9"/>
        <v>20</v>
      </c>
      <c r="T25" s="491">
        <f t="shared" si="9"/>
        <v>0</v>
      </c>
      <c r="U25" s="491">
        <f t="shared" si="9"/>
        <v>0</v>
      </c>
      <c r="V25" s="491">
        <f t="shared" si="9"/>
        <v>0</v>
      </c>
      <c r="W25" s="491">
        <f t="shared" si="9"/>
        <v>0</v>
      </c>
      <c r="X25" s="491">
        <f t="shared" si="9"/>
        <v>2</v>
      </c>
      <c r="Y25" s="491">
        <f t="shared" si="9"/>
        <v>60</v>
      </c>
      <c r="Z25" s="491">
        <f t="shared" si="9"/>
        <v>0</v>
      </c>
      <c r="AA25" s="491">
        <f t="shared" si="9"/>
        <v>60</v>
      </c>
      <c r="AB25" s="491">
        <f t="shared" si="9"/>
        <v>0</v>
      </c>
      <c r="AC25" s="491">
        <f t="shared" si="9"/>
        <v>0</v>
      </c>
      <c r="AD25" s="491">
        <f t="shared" si="9"/>
        <v>100</v>
      </c>
      <c r="AE25" s="491">
        <f t="shared" si="9"/>
        <v>4</v>
      </c>
    </row>
    <row r="26" spans="1:31" ht="15.75">
      <c r="A26" s="657" t="s">
        <v>255</v>
      </c>
      <c r="B26" s="658"/>
      <c r="C26" s="658"/>
      <c r="D26" s="658"/>
      <c r="E26" s="658"/>
      <c r="F26" s="659"/>
      <c r="G26" s="490">
        <f t="shared" ref="G26:AE26" si="10">G19+G22+G25</f>
        <v>0</v>
      </c>
      <c r="H26" s="490">
        <f t="shared" si="10"/>
        <v>0</v>
      </c>
      <c r="I26" s="490">
        <f t="shared" si="10"/>
        <v>45</v>
      </c>
      <c r="J26" s="490">
        <f t="shared" si="10"/>
        <v>20</v>
      </c>
      <c r="K26" s="490">
        <f t="shared" si="10"/>
        <v>480</v>
      </c>
      <c r="L26" s="490">
        <f t="shared" si="10"/>
        <v>320</v>
      </c>
      <c r="M26" s="490">
        <f t="shared" si="10"/>
        <v>0</v>
      </c>
      <c r="N26" s="490">
        <f t="shared" si="10"/>
        <v>0</v>
      </c>
      <c r="O26" s="490">
        <f t="shared" si="10"/>
        <v>34</v>
      </c>
      <c r="P26" s="490">
        <f t="shared" si="10"/>
        <v>0</v>
      </c>
      <c r="Q26" s="490">
        <f t="shared" si="10"/>
        <v>0</v>
      </c>
      <c r="R26" s="490">
        <f t="shared" si="10"/>
        <v>45</v>
      </c>
      <c r="S26" s="490">
        <f t="shared" si="10"/>
        <v>20</v>
      </c>
      <c r="T26" s="490">
        <f t="shared" si="10"/>
        <v>420</v>
      </c>
      <c r="U26" s="490">
        <f t="shared" si="10"/>
        <v>280</v>
      </c>
      <c r="V26" s="490">
        <f t="shared" si="10"/>
        <v>0</v>
      </c>
      <c r="W26" s="490">
        <f t="shared" si="10"/>
        <v>0</v>
      </c>
      <c r="X26" s="490">
        <f t="shared" si="10"/>
        <v>30</v>
      </c>
      <c r="Y26" s="490">
        <f t="shared" si="10"/>
        <v>990</v>
      </c>
      <c r="Z26" s="490">
        <f t="shared" si="10"/>
        <v>0</v>
      </c>
      <c r="AA26" s="490">
        <f t="shared" si="10"/>
        <v>90</v>
      </c>
      <c r="AB26" s="490">
        <f t="shared" si="10"/>
        <v>900</v>
      </c>
      <c r="AC26" s="490">
        <f t="shared" si="10"/>
        <v>0</v>
      </c>
      <c r="AD26" s="490">
        <f t="shared" si="10"/>
        <v>1630</v>
      </c>
      <c r="AE26" s="490">
        <f t="shared" si="10"/>
        <v>64</v>
      </c>
    </row>
    <row r="33" spans="2:18">
      <c r="B33" s="662" t="s">
        <v>256</v>
      </c>
      <c r="C33" s="662"/>
      <c r="D33" s="662"/>
      <c r="E33" s="662"/>
      <c r="F33" s="662"/>
      <c r="G33" s="662"/>
      <c r="H33" s="662"/>
      <c r="I33" s="662"/>
      <c r="J33" s="662"/>
      <c r="K33" s="662"/>
      <c r="L33" s="662"/>
      <c r="M33" s="662"/>
      <c r="N33" s="662"/>
      <c r="O33" s="662"/>
      <c r="R33" s="489" t="s">
        <v>126</v>
      </c>
    </row>
  </sheetData>
  <mergeCells count="38">
    <mergeCell ref="A1:AE1"/>
    <mergeCell ref="A2:B2"/>
    <mergeCell ref="H2:P2"/>
    <mergeCell ref="A3:B3"/>
    <mergeCell ref="A5:F5"/>
    <mergeCell ref="G5:AE5"/>
    <mergeCell ref="B33:O33"/>
    <mergeCell ref="O8:O9"/>
    <mergeCell ref="P8:Q8"/>
    <mergeCell ref="R8:S8"/>
    <mergeCell ref="T8:U8"/>
    <mergeCell ref="A19:F19"/>
    <mergeCell ref="A22:F22"/>
    <mergeCell ref="G8:H8"/>
    <mergeCell ref="I8:J8"/>
    <mergeCell ref="K8:L8"/>
    <mergeCell ref="A6:A9"/>
    <mergeCell ref="B6:B9"/>
    <mergeCell ref="C6:C9"/>
    <mergeCell ref="D6:F7"/>
    <mergeCell ref="D8:D9"/>
    <mergeCell ref="E8:E9"/>
    <mergeCell ref="A23:AE23"/>
    <mergeCell ref="A25:F25"/>
    <mergeCell ref="A26:F26"/>
    <mergeCell ref="AA6:AA9"/>
    <mergeCell ref="AB6:AB9"/>
    <mergeCell ref="AC6:AC9"/>
    <mergeCell ref="AD6:AD9"/>
    <mergeCell ref="AE6:AE9"/>
    <mergeCell ref="G7:O7"/>
    <mergeCell ref="P7:X7"/>
    <mergeCell ref="Z6:Z9"/>
    <mergeCell ref="V8:W8"/>
    <mergeCell ref="X8:X9"/>
    <mergeCell ref="Y6:Y9"/>
    <mergeCell ref="F8:F9"/>
    <mergeCell ref="M8:N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39"/>
  <sheetViews>
    <sheetView workbookViewId="0">
      <pane ySplit="4" topLeftCell="A101" activePane="bottomLeft" state="frozen"/>
      <selection pane="bottomLeft" activeCell="C77" sqref="C77"/>
    </sheetView>
  </sheetViews>
  <sheetFormatPr defaultRowHeight="15"/>
  <cols>
    <col min="1" max="1" width="6" style="213" customWidth="1"/>
    <col min="2" max="2" width="45.7109375" style="213" customWidth="1"/>
    <col min="3" max="3" width="24" style="262" customWidth="1"/>
    <col min="4" max="4" width="11.140625" style="219" customWidth="1"/>
    <col min="5" max="5" width="7.28515625" style="212" customWidth="1"/>
    <col min="6" max="9" width="5.28515625" style="212" customWidth="1"/>
    <col min="10" max="10" width="9.140625" style="212" customWidth="1"/>
    <col min="11" max="11" width="6.85546875" style="212" customWidth="1"/>
    <col min="12" max="12" width="31.140625" style="213" customWidth="1"/>
    <col min="13" max="13" width="17.7109375" style="213" customWidth="1"/>
    <col min="14" max="16384" width="9.140625" style="213"/>
  </cols>
  <sheetData>
    <row r="1" spans="1:51" ht="66.75" customHeight="1">
      <c r="A1" s="696" t="s">
        <v>263</v>
      </c>
      <c r="B1" s="696"/>
      <c r="C1" s="696"/>
      <c r="D1" s="696"/>
      <c r="E1" s="696"/>
      <c r="F1" s="696"/>
      <c r="G1" s="696"/>
      <c r="H1" s="696"/>
      <c r="I1" s="696"/>
      <c r="J1" s="696"/>
      <c r="K1" s="696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</row>
    <row r="2" spans="1:51" ht="30.75" customHeight="1">
      <c r="A2" s="692" t="s">
        <v>260</v>
      </c>
      <c r="B2" s="692"/>
      <c r="C2" s="267" t="s">
        <v>261</v>
      </c>
      <c r="D2" s="268"/>
      <c r="E2" s="269"/>
      <c r="F2" s="269"/>
      <c r="G2" s="269"/>
      <c r="H2" s="270"/>
      <c r="I2" s="270"/>
      <c r="J2" s="270"/>
      <c r="K2" s="270"/>
      <c r="L2" s="266"/>
      <c r="M2" s="266"/>
      <c r="N2" s="266"/>
      <c r="O2" s="266"/>
      <c r="P2" s="266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</row>
    <row r="3" spans="1:51" ht="23.25" customHeight="1">
      <c r="A3" s="692" t="s">
        <v>262</v>
      </c>
      <c r="B3" s="692"/>
      <c r="C3" s="271"/>
      <c r="D3" s="272"/>
      <c r="E3" s="272"/>
      <c r="F3" s="272"/>
      <c r="G3" s="272"/>
      <c r="H3" s="272"/>
      <c r="I3" s="272"/>
      <c r="J3" s="272"/>
      <c r="K3" s="272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</row>
    <row r="4" spans="1:51" ht="63.75" customHeight="1">
      <c r="A4" s="204" t="s">
        <v>0</v>
      </c>
      <c r="B4" s="203" t="s">
        <v>4</v>
      </c>
      <c r="C4" s="200" t="s">
        <v>1</v>
      </c>
      <c r="D4" s="220" t="s">
        <v>244</v>
      </c>
      <c r="E4" s="180" t="s">
        <v>5</v>
      </c>
      <c r="F4" s="180" t="s">
        <v>89</v>
      </c>
      <c r="G4" s="180" t="s">
        <v>88</v>
      </c>
      <c r="H4" s="180" t="s">
        <v>94</v>
      </c>
      <c r="I4" s="180" t="s">
        <v>90</v>
      </c>
      <c r="J4" s="180" t="s">
        <v>14</v>
      </c>
      <c r="K4" s="180" t="s">
        <v>6</v>
      </c>
    </row>
    <row r="5" spans="1:51" ht="15" customHeight="1">
      <c r="A5" s="275" t="s">
        <v>22</v>
      </c>
      <c r="B5" s="207"/>
      <c r="C5" s="260"/>
      <c r="D5" s="227"/>
      <c r="E5" s="228"/>
      <c r="F5" s="228"/>
      <c r="G5" s="228"/>
      <c r="H5" s="228"/>
      <c r="I5" s="229"/>
      <c r="J5" s="229"/>
      <c r="K5" s="274"/>
      <c r="L5" s="205"/>
      <c r="M5" s="205"/>
      <c r="N5" s="205"/>
      <c r="O5" s="205"/>
    </row>
    <row r="6" spans="1:51" ht="18.75" customHeight="1">
      <c r="A6" s="198">
        <v>1.1000000000000001</v>
      </c>
      <c r="B6" s="222" t="s">
        <v>18</v>
      </c>
      <c r="C6" s="196" t="str">
        <f>"0912-7LEK-B"&amp;A6&amp;"-"&amp;UPPER(LEFT(B6,1))</f>
        <v>0912-7LEK-B1.1-A</v>
      </c>
      <c r="D6" s="223" t="s">
        <v>240</v>
      </c>
      <c r="E6" s="224">
        <v>225</v>
      </c>
      <c r="F6" s="224">
        <v>75</v>
      </c>
      <c r="G6" s="224">
        <v>60</v>
      </c>
      <c r="H6" s="224">
        <v>90</v>
      </c>
      <c r="I6" s="181">
        <v>0</v>
      </c>
      <c r="J6" s="232">
        <v>425</v>
      </c>
      <c r="K6" s="232">
        <v>17</v>
      </c>
      <c r="L6" s="263"/>
      <c r="M6" s="205"/>
      <c r="N6" s="205"/>
      <c r="O6" s="205"/>
    </row>
    <row r="7" spans="1:51" ht="18.75" customHeight="1">
      <c r="A7" s="197">
        <v>1.2</v>
      </c>
      <c r="B7" s="199" t="s">
        <v>20</v>
      </c>
      <c r="C7" s="17" t="str">
        <f>"0912-7LEK-B"&amp;A7&amp;"-"&amp;UPPER(LEFT(B7,1))</f>
        <v>0912-7LEK-B1.2-H</v>
      </c>
      <c r="D7" s="209" t="s">
        <v>240</v>
      </c>
      <c r="E7" s="210">
        <v>105</v>
      </c>
      <c r="F7" s="210">
        <v>35</v>
      </c>
      <c r="G7" s="210">
        <v>35</v>
      </c>
      <c r="H7" s="210">
        <v>35</v>
      </c>
      <c r="I7" s="206">
        <v>0</v>
      </c>
      <c r="J7" s="233">
        <v>250</v>
      </c>
      <c r="K7" s="233">
        <v>10</v>
      </c>
      <c r="L7" s="205"/>
      <c r="M7" s="205"/>
      <c r="N7" s="205"/>
      <c r="O7" s="205"/>
    </row>
    <row r="8" spans="1:51">
      <c r="A8" s="700" t="s">
        <v>9</v>
      </c>
      <c r="B8" s="701"/>
      <c r="C8" s="701"/>
      <c r="D8" s="702"/>
      <c r="E8" s="221">
        <f>SUM(E6:E7)</f>
        <v>330</v>
      </c>
      <c r="F8" s="221">
        <f t="shared" ref="F8:K8" si="0">SUM(F6:F7)</f>
        <v>110</v>
      </c>
      <c r="G8" s="221">
        <f t="shared" si="0"/>
        <v>95</v>
      </c>
      <c r="H8" s="221">
        <f t="shared" si="0"/>
        <v>125</v>
      </c>
      <c r="I8" s="221">
        <f t="shared" si="0"/>
        <v>0</v>
      </c>
      <c r="J8" s="221">
        <f t="shared" si="0"/>
        <v>675</v>
      </c>
      <c r="K8" s="221">
        <f t="shared" si="0"/>
        <v>27</v>
      </c>
      <c r="L8" s="205"/>
      <c r="M8" s="205"/>
      <c r="N8" s="205"/>
      <c r="O8" s="205"/>
    </row>
    <row r="9" spans="1:51">
      <c r="A9" s="693" t="s">
        <v>23</v>
      </c>
      <c r="B9" s="694"/>
      <c r="C9" s="694"/>
      <c r="D9" s="694"/>
      <c r="E9" s="694"/>
      <c r="F9" s="694"/>
      <c r="G9" s="694"/>
      <c r="H9" s="694"/>
      <c r="I9" s="694"/>
      <c r="J9" s="694"/>
      <c r="K9" s="695"/>
    </row>
    <row r="10" spans="1:51" ht="18.75" customHeight="1">
      <c r="A10" s="198">
        <v>2.1</v>
      </c>
      <c r="B10" s="222" t="s">
        <v>35</v>
      </c>
      <c r="C10" s="196" t="str">
        <f>"0912-7LEK-B"&amp;A10&amp;"-"&amp;UPPER(LEFT(B10,1))&amp;"f"</f>
        <v>0912-7LEK-B2.1-Bf</v>
      </c>
      <c r="D10" s="223">
        <v>4</v>
      </c>
      <c r="E10" s="224">
        <v>50</v>
      </c>
      <c r="F10" s="224">
        <v>20</v>
      </c>
      <c r="G10" s="224">
        <v>15</v>
      </c>
      <c r="H10" s="224">
        <v>0</v>
      </c>
      <c r="I10" s="224">
        <v>15</v>
      </c>
      <c r="J10" s="224">
        <v>75</v>
      </c>
      <c r="K10" s="224">
        <v>3</v>
      </c>
    </row>
    <row r="11" spans="1:51" ht="18.75" customHeight="1">
      <c r="A11" s="197">
        <v>2.2000000000000002</v>
      </c>
      <c r="B11" s="199" t="s">
        <v>36</v>
      </c>
      <c r="C11" s="17" t="str">
        <f>"0912-7LEK-B"&amp;A11&amp;"-"&amp;UPPER(LEFT(B11,1))&amp;"BK"</f>
        <v>0912-7LEK-B2.2-PBK</v>
      </c>
      <c r="D11" s="209">
        <v>2</v>
      </c>
      <c r="E11" s="210">
        <v>60</v>
      </c>
      <c r="F11" s="210">
        <v>30</v>
      </c>
      <c r="G11" s="210">
        <v>0</v>
      </c>
      <c r="H11" s="210">
        <v>0</v>
      </c>
      <c r="I11" s="210">
        <v>30</v>
      </c>
      <c r="J11" s="210">
        <v>100</v>
      </c>
      <c r="K11" s="210">
        <v>4</v>
      </c>
    </row>
    <row r="12" spans="1:51" ht="15.75">
      <c r="A12" s="197">
        <v>2.2999999999999998</v>
      </c>
      <c r="B12" s="199" t="s">
        <v>37</v>
      </c>
      <c r="C12" s="17" t="str">
        <f>"0912-7LEK-B"&amp;A12&amp;"-"&amp;UPPER(LEFT(B12,1))</f>
        <v>0912-7LEK-B2.3-C</v>
      </c>
      <c r="D12" s="209">
        <v>1</v>
      </c>
      <c r="E12" s="210">
        <v>35</v>
      </c>
      <c r="F12" s="210">
        <v>15</v>
      </c>
      <c r="G12" s="210">
        <v>0</v>
      </c>
      <c r="H12" s="210">
        <v>0</v>
      </c>
      <c r="I12" s="210">
        <v>20</v>
      </c>
      <c r="J12" s="210">
        <v>75</v>
      </c>
      <c r="K12" s="210">
        <v>3</v>
      </c>
    </row>
    <row r="13" spans="1:51" ht="18.75" customHeight="1">
      <c r="A13" s="197">
        <v>2.4</v>
      </c>
      <c r="B13" s="215" t="s">
        <v>38</v>
      </c>
      <c r="C13" s="17" t="str">
        <f>"0912-7LEK-B"&amp;A13&amp;"-"&amp;UPPER(LEFT(B13,1))&amp;"ch"</f>
        <v>0912-7LEK-B2.4-Bch</v>
      </c>
      <c r="D13" s="209">
        <v>3</v>
      </c>
      <c r="E13" s="210">
        <v>60</v>
      </c>
      <c r="F13" s="210">
        <v>30</v>
      </c>
      <c r="G13" s="210">
        <v>0</v>
      </c>
      <c r="H13" s="210">
        <v>0</v>
      </c>
      <c r="I13" s="210">
        <v>30</v>
      </c>
      <c r="J13" s="210">
        <v>125</v>
      </c>
      <c r="K13" s="210">
        <v>5</v>
      </c>
      <c r="U13" s="550"/>
      <c r="V13" s="551"/>
      <c r="W13" s="551"/>
      <c r="X13" s="551"/>
      <c r="Y13" s="551"/>
      <c r="Z13" s="551"/>
      <c r="AA13" s="551"/>
      <c r="AB13" s="551"/>
      <c r="AC13" s="551"/>
      <c r="AD13" s="551"/>
      <c r="AE13" s="551"/>
      <c r="AF13" s="551"/>
      <c r="AG13" s="551"/>
      <c r="AH13" s="551"/>
      <c r="AI13" s="551"/>
      <c r="AJ13" s="551"/>
      <c r="AK13" s="551"/>
      <c r="AL13" s="551"/>
      <c r="AM13" s="551"/>
      <c r="AN13" s="551"/>
      <c r="AO13" s="551"/>
      <c r="AP13" s="551"/>
      <c r="AQ13" s="551"/>
      <c r="AR13" s="551"/>
      <c r="AS13" s="551"/>
      <c r="AT13" s="551"/>
      <c r="AU13" s="551"/>
      <c r="AV13" s="551"/>
      <c r="AW13" s="551"/>
      <c r="AX13" s="551"/>
      <c r="AY13" s="551"/>
    </row>
    <row r="14" spans="1:51" ht="18.75" customHeight="1">
      <c r="A14" s="197">
        <v>2.5</v>
      </c>
      <c r="B14" s="199" t="s">
        <v>39</v>
      </c>
      <c r="C14" s="17" t="str">
        <f>"0912-7LEK-B"&amp;A14&amp;"-"&amp;UPPER(LEFT(B14,1))&amp;"zC"</f>
        <v>0912-7LEK-B2.5-FzC</v>
      </c>
      <c r="D14" s="209" t="s">
        <v>251</v>
      </c>
      <c r="E14" s="210">
        <v>160</v>
      </c>
      <c r="F14" s="210">
        <v>50</v>
      </c>
      <c r="G14" s="210">
        <v>50</v>
      </c>
      <c r="H14" s="210">
        <v>0</v>
      </c>
      <c r="I14" s="210">
        <v>60</v>
      </c>
      <c r="J14" s="210">
        <v>350</v>
      </c>
      <c r="K14" s="210">
        <v>14</v>
      </c>
      <c r="U14" s="568"/>
      <c r="V14" s="568"/>
      <c r="W14" s="140"/>
      <c r="X14" s="39"/>
      <c r="Y14" s="128"/>
      <c r="Z14" s="128"/>
      <c r="AA14" s="128"/>
      <c r="AB14" s="570"/>
      <c r="AC14" s="570"/>
      <c r="AD14" s="570"/>
      <c r="AE14" s="570"/>
      <c r="AF14" s="570"/>
      <c r="AG14" s="570"/>
      <c r="AH14" s="570"/>
      <c r="AI14" s="570"/>
      <c r="AJ14" s="570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</row>
    <row r="15" spans="1:51" ht="23.25">
      <c r="A15" s="197">
        <v>2.6</v>
      </c>
      <c r="B15" s="199" t="s">
        <v>40</v>
      </c>
      <c r="C15" s="17" t="str">
        <f>"0912-7LEK-B"&amp;A15&amp;"-"&amp;UPPER(LEFT(B15,1))&amp;""</f>
        <v>0912-7LEK-B2.6-P</v>
      </c>
      <c r="D15" s="209" t="s">
        <v>252</v>
      </c>
      <c r="E15" s="210">
        <v>90</v>
      </c>
      <c r="F15" s="210">
        <v>40</v>
      </c>
      <c r="G15" s="210">
        <v>50</v>
      </c>
      <c r="H15" s="210">
        <v>0</v>
      </c>
      <c r="I15" s="210">
        <v>0</v>
      </c>
      <c r="J15" s="210">
        <v>175</v>
      </c>
      <c r="K15" s="210">
        <v>7</v>
      </c>
      <c r="U15" s="569"/>
      <c r="V15" s="569"/>
      <c r="W15" s="141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</row>
    <row r="16" spans="1:51" ht="18.75" customHeight="1">
      <c r="A16" s="197">
        <v>2.7</v>
      </c>
      <c r="B16" s="199" t="s">
        <v>93</v>
      </c>
      <c r="C16" s="17" t="str">
        <f>"0912-7LEK-B"&amp;A16&amp;"-"&amp;UPPER(LEFT(B16,1))&amp;"zI"</f>
        <v>0912-7LEK-B2.7-BzI</v>
      </c>
      <c r="D16" s="209" t="s">
        <v>240</v>
      </c>
      <c r="E16" s="210">
        <v>80</v>
      </c>
      <c r="F16" s="210">
        <v>30</v>
      </c>
      <c r="G16" s="210">
        <v>50</v>
      </c>
      <c r="H16" s="210">
        <v>0</v>
      </c>
      <c r="I16" s="210">
        <v>0</v>
      </c>
      <c r="J16" s="210">
        <v>125</v>
      </c>
      <c r="K16" s="210">
        <v>5</v>
      </c>
    </row>
    <row r="17" spans="1:11" ht="18.75" customHeight="1">
      <c r="A17" s="197">
        <v>2.8</v>
      </c>
      <c r="B17" s="199" t="s">
        <v>91</v>
      </c>
      <c r="C17" s="17" t="str">
        <f>"0912-7LEK-B"&amp;A17&amp;"-"&amp;UPPER(LEFT(B17,1))&amp;"P"</f>
        <v>0912-7LEK-B2.8-PP</v>
      </c>
      <c r="D17" s="209">
        <v>2</v>
      </c>
      <c r="E17" s="210">
        <v>35</v>
      </c>
      <c r="F17" s="210">
        <v>0</v>
      </c>
      <c r="G17" s="210">
        <v>15</v>
      </c>
      <c r="H17" s="210">
        <v>20</v>
      </c>
      <c r="I17" s="210">
        <v>0</v>
      </c>
      <c r="J17" s="210">
        <v>50</v>
      </c>
      <c r="K17" s="210">
        <v>2</v>
      </c>
    </row>
    <row r="18" spans="1:11">
      <c r="A18" s="700" t="s">
        <v>9</v>
      </c>
      <c r="B18" s="701"/>
      <c r="C18" s="701"/>
      <c r="D18" s="702"/>
      <c r="E18" s="221">
        <f>SUM(E10:E17)</f>
        <v>570</v>
      </c>
      <c r="F18" s="221">
        <f t="shared" ref="F18:K18" si="1">SUM(F10:F17)</f>
        <v>215</v>
      </c>
      <c r="G18" s="221">
        <f t="shared" si="1"/>
        <v>180</v>
      </c>
      <c r="H18" s="221">
        <f t="shared" si="1"/>
        <v>20</v>
      </c>
      <c r="I18" s="221">
        <f t="shared" si="1"/>
        <v>155</v>
      </c>
      <c r="J18" s="221">
        <f t="shared" si="1"/>
        <v>1075</v>
      </c>
      <c r="K18" s="221">
        <f t="shared" si="1"/>
        <v>43</v>
      </c>
    </row>
    <row r="19" spans="1:11">
      <c r="A19" s="693" t="s">
        <v>24</v>
      </c>
      <c r="B19" s="694"/>
      <c r="C19" s="694"/>
      <c r="D19" s="694"/>
      <c r="E19" s="694"/>
      <c r="F19" s="694"/>
      <c r="G19" s="694"/>
      <c r="H19" s="694"/>
      <c r="I19" s="694"/>
      <c r="J19" s="694"/>
      <c r="K19" s="695"/>
    </row>
    <row r="20" spans="1:11" ht="15.75">
      <c r="A20" s="198">
        <v>3.1</v>
      </c>
      <c r="B20" s="222" t="s">
        <v>41</v>
      </c>
      <c r="C20" s="196" t="str">
        <f t="shared" ref="C20:C25" si="2">"0912-7LEK-C"&amp;A20&amp;"-"&amp;UPPER(LEFT(B20,1))</f>
        <v>0912-7LEK-C3.1-G</v>
      </c>
      <c r="D20" s="223">
        <v>3</v>
      </c>
      <c r="E20" s="224">
        <v>45</v>
      </c>
      <c r="F20" s="224">
        <v>15</v>
      </c>
      <c r="G20" s="224">
        <v>30</v>
      </c>
      <c r="H20" s="224">
        <v>0</v>
      </c>
      <c r="I20" s="224">
        <v>0</v>
      </c>
      <c r="J20" s="224">
        <v>100</v>
      </c>
      <c r="K20" s="224">
        <v>4</v>
      </c>
    </row>
    <row r="21" spans="1:11" ht="15.75">
      <c r="A21" s="197">
        <v>3.2</v>
      </c>
      <c r="B21" s="199" t="s">
        <v>42</v>
      </c>
      <c r="C21" s="17" t="str">
        <f t="shared" si="2"/>
        <v>0912-7LEK-C3.2-M</v>
      </c>
      <c r="D21" s="209" t="s">
        <v>251</v>
      </c>
      <c r="E21" s="210">
        <v>100</v>
      </c>
      <c r="F21" s="210">
        <v>20</v>
      </c>
      <c r="G21" s="210">
        <v>40</v>
      </c>
      <c r="H21" s="210">
        <v>0</v>
      </c>
      <c r="I21" s="210">
        <v>40</v>
      </c>
      <c r="J21" s="210">
        <v>200</v>
      </c>
      <c r="K21" s="210">
        <v>8</v>
      </c>
    </row>
    <row r="22" spans="1:11" ht="15.75">
      <c r="A22" s="197">
        <v>3.3</v>
      </c>
      <c r="B22" s="199" t="s">
        <v>43</v>
      </c>
      <c r="C22" s="17" t="str">
        <f t="shared" si="2"/>
        <v>0912-7LEK-C3.3-P</v>
      </c>
      <c r="D22" s="209">
        <v>4</v>
      </c>
      <c r="E22" s="210">
        <v>45</v>
      </c>
      <c r="F22" s="210">
        <v>15</v>
      </c>
      <c r="G22" s="210">
        <v>15</v>
      </c>
      <c r="H22" s="210">
        <v>0</v>
      </c>
      <c r="I22" s="210">
        <v>15</v>
      </c>
      <c r="J22" s="210">
        <v>75</v>
      </c>
      <c r="K22" s="210">
        <v>3</v>
      </c>
    </row>
    <row r="23" spans="1:11" ht="15.75">
      <c r="A23" s="197">
        <v>3.4</v>
      </c>
      <c r="B23" s="199" t="s">
        <v>44</v>
      </c>
      <c r="C23" s="17" t="str">
        <f t="shared" si="2"/>
        <v>0912-7LEK-C3.4-I</v>
      </c>
      <c r="D23" s="209" t="s">
        <v>243</v>
      </c>
      <c r="E23" s="210">
        <v>45</v>
      </c>
      <c r="F23" s="210">
        <v>15</v>
      </c>
      <c r="G23" s="210">
        <v>10</v>
      </c>
      <c r="H23" s="210">
        <v>0</v>
      </c>
      <c r="I23" s="210">
        <v>20</v>
      </c>
      <c r="J23" s="210">
        <v>75</v>
      </c>
      <c r="K23" s="210">
        <v>3</v>
      </c>
    </row>
    <row r="24" spans="1:11" ht="15.75">
      <c r="A24" s="197">
        <v>3.5</v>
      </c>
      <c r="B24" s="199" t="s">
        <v>45</v>
      </c>
      <c r="C24" s="17" t="str">
        <f t="shared" si="2"/>
        <v>0912-7LEK-C3.5-P</v>
      </c>
      <c r="D24" s="209" t="s">
        <v>252</v>
      </c>
      <c r="E24" s="210">
        <v>135</v>
      </c>
      <c r="F24" s="210">
        <v>45</v>
      </c>
      <c r="G24" s="210">
        <v>90</v>
      </c>
      <c r="H24" s="210">
        <v>0</v>
      </c>
      <c r="I24" s="210">
        <v>0</v>
      </c>
      <c r="J24" s="210">
        <v>275</v>
      </c>
      <c r="K24" s="210">
        <v>11</v>
      </c>
    </row>
    <row r="25" spans="1:11" ht="15.75">
      <c r="A25" s="197">
        <v>3.6</v>
      </c>
      <c r="B25" s="199" t="s">
        <v>46</v>
      </c>
      <c r="C25" s="17" t="str">
        <f t="shared" si="2"/>
        <v>0912-7LEK-C3.6-F</v>
      </c>
      <c r="D25" s="209" t="s">
        <v>252</v>
      </c>
      <c r="E25" s="210">
        <v>130</v>
      </c>
      <c r="F25" s="210">
        <v>50</v>
      </c>
      <c r="G25" s="210">
        <v>80</v>
      </c>
      <c r="H25" s="210">
        <v>0</v>
      </c>
      <c r="I25" s="210">
        <v>0</v>
      </c>
      <c r="J25" s="210">
        <v>250</v>
      </c>
      <c r="K25" s="210">
        <v>10</v>
      </c>
    </row>
    <row r="26" spans="1:11">
      <c r="A26" s="700" t="s">
        <v>9</v>
      </c>
      <c r="B26" s="701"/>
      <c r="C26" s="701"/>
      <c r="D26" s="702"/>
      <c r="E26" s="221">
        <f>SUM(E20:E25)</f>
        <v>500</v>
      </c>
      <c r="F26" s="221">
        <f t="shared" ref="F26:K26" si="3">SUM(F20:F25)</f>
        <v>160</v>
      </c>
      <c r="G26" s="221">
        <f t="shared" si="3"/>
        <v>265</v>
      </c>
      <c r="H26" s="221">
        <f t="shared" si="3"/>
        <v>0</v>
      </c>
      <c r="I26" s="221">
        <f t="shared" si="3"/>
        <v>75</v>
      </c>
      <c r="J26" s="221">
        <f t="shared" si="3"/>
        <v>975</v>
      </c>
      <c r="K26" s="221">
        <f t="shared" si="3"/>
        <v>39</v>
      </c>
    </row>
    <row r="27" spans="1:11">
      <c r="A27" s="693" t="s">
        <v>34</v>
      </c>
      <c r="B27" s="694"/>
      <c r="C27" s="694"/>
      <c r="D27" s="694"/>
      <c r="E27" s="694"/>
      <c r="F27" s="694"/>
      <c r="G27" s="694"/>
      <c r="H27" s="694"/>
      <c r="I27" s="694"/>
      <c r="J27" s="694"/>
      <c r="K27" s="695"/>
    </row>
    <row r="28" spans="1:11" ht="15.75">
      <c r="A28" s="195">
        <v>4.0999999999999996</v>
      </c>
      <c r="B28" s="222" t="s">
        <v>47</v>
      </c>
      <c r="C28" s="196" t="str">
        <f>"0912-7LEK-B"&amp;A28&amp;"-"&amp;UPPER(LEFT(B28,1))</f>
        <v>0912-7LEK-B4.1-S</v>
      </c>
      <c r="D28" s="223">
        <v>2</v>
      </c>
      <c r="E28" s="224">
        <v>15</v>
      </c>
      <c r="F28" s="224">
        <v>15</v>
      </c>
      <c r="G28" s="224">
        <v>0</v>
      </c>
      <c r="H28" s="224">
        <v>0</v>
      </c>
      <c r="I28" s="224">
        <v>0</v>
      </c>
      <c r="J28" s="224">
        <v>25</v>
      </c>
      <c r="K28" s="224">
        <v>1</v>
      </c>
    </row>
    <row r="29" spans="1:11" ht="15.75">
      <c r="A29" s="197">
        <v>4.2</v>
      </c>
      <c r="B29" s="199" t="s">
        <v>48</v>
      </c>
      <c r="C29" s="17" t="str">
        <f>"0912-7LEK-B"&amp;A29&amp;"-"&amp;UPPER(LEFT(B29,1))</f>
        <v>0912-7LEK-B4.2-P</v>
      </c>
      <c r="D29" s="209">
        <v>2</v>
      </c>
      <c r="E29" s="210">
        <v>15</v>
      </c>
      <c r="F29" s="210">
        <v>15</v>
      </c>
      <c r="G29" s="210">
        <v>0</v>
      </c>
      <c r="H29" s="210">
        <v>0</v>
      </c>
      <c r="I29" s="210">
        <v>0</v>
      </c>
      <c r="J29" s="210">
        <v>25</v>
      </c>
      <c r="K29" s="210">
        <v>1</v>
      </c>
    </row>
    <row r="30" spans="1:11" ht="15.75">
      <c r="A30" s="6">
        <v>4.3</v>
      </c>
      <c r="B30" s="199" t="s">
        <v>49</v>
      </c>
      <c r="C30" s="17" t="str">
        <f>"0912-7LEK-B"&amp;A30&amp;"-"&amp;UPPER(LEFT(B30,1))</f>
        <v>0912-7LEK-B4.3-E</v>
      </c>
      <c r="D30" s="209">
        <v>1</v>
      </c>
      <c r="E30" s="210">
        <v>15</v>
      </c>
      <c r="F30" s="210">
        <v>15</v>
      </c>
      <c r="G30" s="210">
        <v>0</v>
      </c>
      <c r="H30" s="210">
        <v>0</v>
      </c>
      <c r="I30" s="210">
        <v>0</v>
      </c>
      <c r="J30" s="210">
        <v>25</v>
      </c>
      <c r="K30" s="210">
        <v>1</v>
      </c>
    </row>
    <row r="31" spans="1:11" ht="15.75">
      <c r="A31" s="197">
        <v>4.4000000000000004</v>
      </c>
      <c r="B31" s="199" t="s">
        <v>92</v>
      </c>
      <c r="C31" s="17" t="str">
        <f>"0912-7LEK-B"&amp;A31&amp;"-"&amp;UPPER(LEFT(B31,1))</f>
        <v>0912-7LEK-B4.4-E</v>
      </c>
      <c r="D31" s="209">
        <v>1</v>
      </c>
      <c r="E31" s="210">
        <v>15</v>
      </c>
      <c r="F31" s="210">
        <v>15</v>
      </c>
      <c r="G31" s="210">
        <v>0</v>
      </c>
      <c r="H31" s="210">
        <v>0</v>
      </c>
      <c r="I31" s="210">
        <v>0</v>
      </c>
      <c r="J31" s="210">
        <v>25</v>
      </c>
      <c r="K31" s="210">
        <v>1</v>
      </c>
    </row>
    <row r="32" spans="1:11" ht="15.75">
      <c r="A32" s="195">
        <v>4.5</v>
      </c>
      <c r="B32" s="199" t="s">
        <v>50</v>
      </c>
      <c r="C32" s="17" t="str">
        <f>"0912-7LEK-B"&amp;A32&amp;"-"&amp;UPPER(LEFT(B32,1))</f>
        <v>0912-7LEK-B4.5-H</v>
      </c>
      <c r="D32" s="209" t="s">
        <v>241</v>
      </c>
      <c r="E32" s="210">
        <v>30</v>
      </c>
      <c r="F32" s="210">
        <v>30</v>
      </c>
      <c r="G32" s="210">
        <v>0</v>
      </c>
      <c r="H32" s="210">
        <v>0</v>
      </c>
      <c r="I32" s="210">
        <v>0</v>
      </c>
      <c r="J32" s="210">
        <v>0</v>
      </c>
      <c r="K32" s="210">
        <v>1</v>
      </c>
    </row>
    <row r="33" spans="1:11">
      <c r="A33" s="700" t="s">
        <v>9</v>
      </c>
      <c r="B33" s="701"/>
      <c r="C33" s="701"/>
      <c r="D33" s="702"/>
      <c r="E33" s="221">
        <f t="shared" ref="E33:K33" si="4">SUM(E28:E32)</f>
        <v>90</v>
      </c>
      <c r="F33" s="221">
        <f t="shared" si="4"/>
        <v>90</v>
      </c>
      <c r="G33" s="221">
        <f t="shared" si="4"/>
        <v>0</v>
      </c>
      <c r="H33" s="221">
        <f t="shared" si="4"/>
        <v>0</v>
      </c>
      <c r="I33" s="221">
        <f t="shared" si="4"/>
        <v>0</v>
      </c>
      <c r="J33" s="221">
        <f t="shared" si="4"/>
        <v>100</v>
      </c>
      <c r="K33" s="221">
        <f t="shared" si="4"/>
        <v>5</v>
      </c>
    </row>
    <row r="34" spans="1:11">
      <c r="A34" s="693" t="s">
        <v>25</v>
      </c>
      <c r="B34" s="694"/>
      <c r="C34" s="694"/>
      <c r="D34" s="694"/>
      <c r="E34" s="694"/>
      <c r="F34" s="694"/>
      <c r="G34" s="694"/>
      <c r="H34" s="694"/>
      <c r="I34" s="694"/>
      <c r="J34" s="694"/>
      <c r="K34" s="695"/>
    </row>
    <row r="35" spans="1:11" ht="15.75">
      <c r="A35" s="195">
        <v>5.0999999999999996</v>
      </c>
      <c r="B35" s="222" t="s">
        <v>51</v>
      </c>
      <c r="C35" s="196" t="str">
        <f>"0912-7LEK-C"&amp;A35&amp;"-"&amp;UPPER(LEFT(B35,1))</f>
        <v>0912-7LEK-C5.1-P</v>
      </c>
      <c r="D35" s="223" t="s">
        <v>273</v>
      </c>
      <c r="E35" s="224">
        <v>240</v>
      </c>
      <c r="F35" s="224">
        <v>60</v>
      </c>
      <c r="G35" s="224">
        <v>70</v>
      </c>
      <c r="H35" s="224">
        <v>110</v>
      </c>
      <c r="I35" s="224">
        <v>0</v>
      </c>
      <c r="J35" s="224">
        <v>375</v>
      </c>
      <c r="K35" s="224">
        <v>15</v>
      </c>
    </row>
    <row r="36" spans="1:11" ht="15.75">
      <c r="A36" s="6">
        <v>5.2</v>
      </c>
      <c r="B36" s="199" t="s">
        <v>80</v>
      </c>
      <c r="C36" s="17" t="str">
        <f>"0912-7LEK-C"&amp;A36&amp;"-"&amp;UPPER(LEFT(B36,1))&amp;"W"</f>
        <v>0912-7LEK-C5.2-CW</v>
      </c>
      <c r="D36" s="209" t="s">
        <v>273</v>
      </c>
      <c r="E36" s="210">
        <v>210</v>
      </c>
      <c r="F36" s="210">
        <v>60</v>
      </c>
      <c r="G36" s="210">
        <v>60</v>
      </c>
      <c r="H36" s="210">
        <v>90</v>
      </c>
      <c r="I36" s="210">
        <v>0</v>
      </c>
      <c r="J36" s="210">
        <v>300</v>
      </c>
      <c r="K36" s="210">
        <v>12</v>
      </c>
    </row>
    <row r="37" spans="1:11" ht="15.75">
      <c r="A37" s="6">
        <v>5.3</v>
      </c>
      <c r="B37" s="199" t="s">
        <v>52</v>
      </c>
      <c r="C37" s="17" t="str">
        <f t="shared" ref="C37:C44" si="5">"0912-7LEK-C"&amp;A37&amp;"-"&amp;UPPER(LEFT(B37,1))</f>
        <v>0912-7LEK-C5.3-G</v>
      </c>
      <c r="D37" s="209">
        <v>10</v>
      </c>
      <c r="E37" s="210">
        <v>55</v>
      </c>
      <c r="F37" s="210">
        <v>15</v>
      </c>
      <c r="G37" s="210">
        <v>40</v>
      </c>
      <c r="H37" s="210">
        <v>0</v>
      </c>
      <c r="I37" s="210">
        <v>0</v>
      </c>
      <c r="J37" s="210">
        <v>75</v>
      </c>
      <c r="K37" s="210">
        <v>3</v>
      </c>
    </row>
    <row r="38" spans="1:11" ht="15.75">
      <c r="A38" s="6">
        <v>5.4</v>
      </c>
      <c r="B38" s="199" t="s">
        <v>53</v>
      </c>
      <c r="C38" s="17" t="str">
        <f t="shared" si="5"/>
        <v>0912-7LEK-C5.4-N</v>
      </c>
      <c r="D38" s="209">
        <v>7</v>
      </c>
      <c r="E38" s="210">
        <v>60</v>
      </c>
      <c r="F38" s="210">
        <v>15</v>
      </c>
      <c r="G38" s="210">
        <v>15</v>
      </c>
      <c r="H38" s="210">
        <v>30</v>
      </c>
      <c r="I38" s="210">
        <v>0</v>
      </c>
      <c r="J38" s="210">
        <v>100</v>
      </c>
      <c r="K38" s="210">
        <v>4</v>
      </c>
    </row>
    <row r="39" spans="1:11" ht="15.75">
      <c r="A39" s="6">
        <v>5.5</v>
      </c>
      <c r="B39" s="199" t="s">
        <v>54</v>
      </c>
      <c r="C39" s="17" t="str">
        <f t="shared" si="5"/>
        <v>0912-7LEK-C5.5-P</v>
      </c>
      <c r="D39" s="209">
        <v>8</v>
      </c>
      <c r="E39" s="210">
        <v>60</v>
      </c>
      <c r="F39" s="210">
        <v>15</v>
      </c>
      <c r="G39" s="210">
        <v>15</v>
      </c>
      <c r="H39" s="210">
        <v>30</v>
      </c>
      <c r="I39" s="210">
        <v>0</v>
      </c>
      <c r="J39" s="210">
        <v>100</v>
      </c>
      <c r="K39" s="210">
        <v>4</v>
      </c>
    </row>
    <row r="40" spans="1:11" ht="15.75">
      <c r="A40" s="6">
        <v>5.6</v>
      </c>
      <c r="B40" s="199" t="s">
        <v>55</v>
      </c>
      <c r="C40" s="17" t="str">
        <f t="shared" si="5"/>
        <v>0912-7LEK-C5.6-O</v>
      </c>
      <c r="D40" s="209">
        <v>7</v>
      </c>
      <c r="E40" s="210">
        <v>55</v>
      </c>
      <c r="F40" s="210">
        <v>15</v>
      </c>
      <c r="G40" s="210">
        <v>15</v>
      </c>
      <c r="H40" s="210">
        <v>25</v>
      </c>
      <c r="I40" s="210">
        <v>0</v>
      </c>
      <c r="J40" s="210">
        <v>100</v>
      </c>
      <c r="K40" s="210">
        <v>4</v>
      </c>
    </row>
    <row r="41" spans="1:11" ht="15.75">
      <c r="A41" s="6">
        <v>5.7</v>
      </c>
      <c r="B41" s="199" t="s">
        <v>56</v>
      </c>
      <c r="C41" s="17" t="str">
        <f>"0912-7LEK-C"&amp;A41&amp;"-"&amp;UPPER(LEFT(B41,1))&amp;"R"</f>
        <v>0912-7LEK-C5.7-MR</v>
      </c>
      <c r="D41" s="209">
        <v>9</v>
      </c>
      <c r="E41" s="210">
        <v>55</v>
      </c>
      <c r="F41" s="210">
        <v>15</v>
      </c>
      <c r="G41" s="210">
        <v>40</v>
      </c>
      <c r="H41" s="210">
        <v>0</v>
      </c>
      <c r="I41" s="210">
        <v>0</v>
      </c>
      <c r="J41" s="210">
        <v>100</v>
      </c>
      <c r="K41" s="210">
        <v>4</v>
      </c>
    </row>
    <row r="42" spans="1:11" ht="15.75">
      <c r="A42" s="6">
        <v>5.8</v>
      </c>
      <c r="B42" s="199" t="s">
        <v>57</v>
      </c>
      <c r="C42" s="17" t="str">
        <f>"0912-7LEK-C"&amp;A42&amp;"-"&amp;UPPER(LEFT(B42,1))&amp;"iW"</f>
        <v>0912-7LEK-C5.8-DiW</v>
      </c>
      <c r="D42" s="209">
        <v>6</v>
      </c>
      <c r="E42" s="210">
        <v>55</v>
      </c>
      <c r="F42" s="210">
        <v>15</v>
      </c>
      <c r="G42" s="210">
        <v>15</v>
      </c>
      <c r="H42" s="210">
        <v>25</v>
      </c>
      <c r="I42" s="210">
        <v>0</v>
      </c>
      <c r="J42" s="210">
        <v>75</v>
      </c>
      <c r="K42" s="210">
        <v>3</v>
      </c>
    </row>
    <row r="43" spans="1:11" ht="15.75">
      <c r="A43" s="6">
        <v>5.9</v>
      </c>
      <c r="B43" s="199" t="s">
        <v>58</v>
      </c>
      <c r="C43" s="17" t="str">
        <f>"0912-7LEK-C"&amp;A43&amp;"-"&amp;UPPER(LEFT(B43,1))&amp;"Z"</f>
        <v>0912-7LEK-C5.9-CZ</v>
      </c>
      <c r="D43" s="209" t="s">
        <v>147</v>
      </c>
      <c r="E43" s="210">
        <v>70</v>
      </c>
      <c r="F43" s="210">
        <v>15</v>
      </c>
      <c r="G43" s="210">
        <v>20</v>
      </c>
      <c r="H43" s="210">
        <v>35</v>
      </c>
      <c r="I43" s="210">
        <v>0</v>
      </c>
      <c r="J43" s="210">
        <v>100</v>
      </c>
      <c r="K43" s="210">
        <v>4</v>
      </c>
    </row>
    <row r="44" spans="1:11" ht="15.75">
      <c r="A44" s="201">
        <v>5.0999999999999996</v>
      </c>
      <c r="B44" s="199" t="s">
        <v>59</v>
      </c>
      <c r="C44" s="17" t="str">
        <f t="shared" si="5"/>
        <v>0912-7LEK-C5.1-R</v>
      </c>
      <c r="D44" s="209">
        <v>7</v>
      </c>
      <c r="E44" s="210">
        <v>50</v>
      </c>
      <c r="F44" s="210">
        <v>15</v>
      </c>
      <c r="G44" s="210">
        <v>15</v>
      </c>
      <c r="H44" s="210">
        <v>20</v>
      </c>
      <c r="I44" s="210">
        <v>0</v>
      </c>
      <c r="J44" s="210">
        <v>70</v>
      </c>
      <c r="K44" s="210">
        <v>3</v>
      </c>
    </row>
    <row r="45" spans="1:11" ht="15.75">
      <c r="A45" s="201">
        <v>5.1100000000000003</v>
      </c>
      <c r="B45" s="199" t="s">
        <v>60</v>
      </c>
      <c r="C45" s="17" t="str">
        <f>"0912-7LEK-C"&amp;A45&amp;"-"&amp;UPPER(LEFT(B45,1))&amp;"L"</f>
        <v>0912-7LEK-C5.11-DL</v>
      </c>
      <c r="D45" s="209" t="s">
        <v>145</v>
      </c>
      <c r="E45" s="210">
        <v>55</v>
      </c>
      <c r="F45" s="210">
        <v>15</v>
      </c>
      <c r="G45" s="210">
        <v>40</v>
      </c>
      <c r="H45" s="210">
        <v>0</v>
      </c>
      <c r="I45" s="210">
        <v>0</v>
      </c>
      <c r="J45" s="210">
        <v>100</v>
      </c>
      <c r="K45" s="210">
        <v>4</v>
      </c>
    </row>
    <row r="46" spans="1:11" ht="15.75">
      <c r="A46" s="201">
        <v>5.12</v>
      </c>
      <c r="B46" s="199" t="s">
        <v>61</v>
      </c>
      <c r="C46" s="17" t="str">
        <f>"0912-7LEK-C"&amp;A46&amp;"-"&amp;UPPER(LEFT(B46,1))&amp;"K"</f>
        <v>0912-7LEK-C5.12-FK</v>
      </c>
      <c r="D46" s="209" t="s">
        <v>144</v>
      </c>
      <c r="E46" s="210">
        <v>45</v>
      </c>
      <c r="F46" s="210">
        <v>20</v>
      </c>
      <c r="G46" s="210">
        <v>10</v>
      </c>
      <c r="H46" s="210">
        <v>15</v>
      </c>
      <c r="I46" s="210">
        <v>0</v>
      </c>
      <c r="J46" s="210">
        <v>65</v>
      </c>
      <c r="K46" s="210">
        <v>3</v>
      </c>
    </row>
    <row r="47" spans="1:11">
      <c r="A47" s="700" t="s">
        <v>9</v>
      </c>
      <c r="B47" s="701"/>
      <c r="C47" s="701"/>
      <c r="D47" s="702"/>
      <c r="E47" s="221">
        <f>SUM(E35:E46)</f>
        <v>1010</v>
      </c>
      <c r="F47" s="221">
        <f t="shared" ref="F47:K47" si="6">SUM(F35:F46)</f>
        <v>275</v>
      </c>
      <c r="G47" s="221">
        <f t="shared" si="6"/>
        <v>355</v>
      </c>
      <c r="H47" s="221">
        <f t="shared" si="6"/>
        <v>380</v>
      </c>
      <c r="I47" s="221">
        <f t="shared" si="6"/>
        <v>0</v>
      </c>
      <c r="J47" s="221">
        <f t="shared" si="6"/>
        <v>1560</v>
      </c>
      <c r="K47" s="221">
        <f t="shared" si="6"/>
        <v>63</v>
      </c>
    </row>
    <row r="48" spans="1:11">
      <c r="A48" s="693" t="s">
        <v>26</v>
      </c>
      <c r="B48" s="694"/>
      <c r="C48" s="694"/>
      <c r="D48" s="694"/>
      <c r="E48" s="694"/>
      <c r="F48" s="694"/>
      <c r="G48" s="694"/>
      <c r="H48" s="694"/>
      <c r="I48" s="694"/>
      <c r="J48" s="694"/>
      <c r="K48" s="695"/>
    </row>
    <row r="49" spans="1:11" ht="15.75">
      <c r="A49" s="195">
        <v>6.1</v>
      </c>
      <c r="B49" s="222" t="s">
        <v>62</v>
      </c>
      <c r="C49" s="292" t="str">
        <f>"0912-7LEK-C"&amp;A49&amp;"-"&amp;UPPER(LEFT(B49,1))&amp;"iIT"</f>
        <v>0912-7LEK-C6.1-AiIT</v>
      </c>
      <c r="D49" s="293" t="s">
        <v>245</v>
      </c>
      <c r="E49" s="294">
        <v>95</v>
      </c>
      <c r="F49" s="294">
        <v>30</v>
      </c>
      <c r="G49" s="294">
        <v>30</v>
      </c>
      <c r="H49" s="294">
        <v>35</v>
      </c>
      <c r="I49" s="294">
        <v>0</v>
      </c>
      <c r="J49" s="294">
        <v>125</v>
      </c>
      <c r="K49" s="294">
        <v>5</v>
      </c>
    </row>
    <row r="50" spans="1:11" ht="15.75">
      <c r="A50" s="6">
        <v>6.2</v>
      </c>
      <c r="B50" s="199" t="s">
        <v>63</v>
      </c>
      <c r="C50" s="196" t="str">
        <f>"0912-7LEK-C"&amp;A50&amp;"-"&amp;UPPER(LEFT(B50,1))&amp;""</f>
        <v>0912-7LEK-C6.2-C</v>
      </c>
      <c r="D50" s="209" t="s">
        <v>246</v>
      </c>
      <c r="E50" s="210">
        <v>255</v>
      </c>
      <c r="F50" s="210">
        <v>90</v>
      </c>
      <c r="G50" s="210">
        <v>90</v>
      </c>
      <c r="H50" s="210">
        <v>75</v>
      </c>
      <c r="I50" s="210">
        <v>0</v>
      </c>
      <c r="J50" s="210">
        <v>375</v>
      </c>
      <c r="K50" s="210">
        <v>15</v>
      </c>
    </row>
    <row r="51" spans="1:11" ht="15.75">
      <c r="A51" s="6">
        <v>6.3</v>
      </c>
      <c r="B51" s="199" t="s">
        <v>64</v>
      </c>
      <c r="C51" s="196" t="str">
        <f>"0912-7LEK-C"&amp;A51&amp;"-"&amp;UPPER(LEFT(B51,1))&amp;"D"</f>
        <v>0912-7LEK-C6.3-CD</v>
      </c>
      <c r="D51" s="209">
        <v>9</v>
      </c>
      <c r="E51" s="210">
        <v>55</v>
      </c>
      <c r="F51" s="210">
        <v>15</v>
      </c>
      <c r="G51" s="210">
        <v>15</v>
      </c>
      <c r="H51" s="210">
        <v>25</v>
      </c>
      <c r="I51" s="210">
        <v>0</v>
      </c>
      <c r="J51" s="210">
        <v>75</v>
      </c>
      <c r="K51" s="210">
        <v>3</v>
      </c>
    </row>
    <row r="52" spans="1:11" ht="15.75">
      <c r="A52" s="6">
        <v>6.4</v>
      </c>
      <c r="B52" s="199" t="s">
        <v>65</v>
      </c>
      <c r="C52" s="196" t="str">
        <f>"0912-7LEK-C"&amp;A52&amp;"-"&amp;UPPER(LEFT(B52,1))&amp;"iT"</f>
        <v>0912-7LEK-C6.4-OiT</v>
      </c>
      <c r="D52" s="209">
        <v>10</v>
      </c>
      <c r="E52" s="210">
        <v>55</v>
      </c>
      <c r="F52" s="210">
        <v>15</v>
      </c>
      <c r="G52" s="210">
        <v>15</v>
      </c>
      <c r="H52" s="210">
        <v>25</v>
      </c>
      <c r="I52" s="210">
        <v>0</v>
      </c>
      <c r="J52" s="210">
        <v>75</v>
      </c>
      <c r="K52" s="210">
        <v>3</v>
      </c>
    </row>
    <row r="53" spans="1:11" ht="15.75">
      <c r="A53" s="6">
        <v>6.5</v>
      </c>
      <c r="B53" s="199" t="s">
        <v>66</v>
      </c>
      <c r="C53" s="196" t="str">
        <f>"0912-7LEK-C"&amp;A53&amp;"-"&amp;UPPER(LEFT(B53,1))&amp;"O"</f>
        <v>0912-7LEK-C6.5-CO</v>
      </c>
      <c r="D53" s="209">
        <v>10</v>
      </c>
      <c r="E53" s="210">
        <v>45</v>
      </c>
      <c r="F53" s="210">
        <v>15</v>
      </c>
      <c r="G53" s="210">
        <v>10</v>
      </c>
      <c r="H53" s="210">
        <v>20</v>
      </c>
      <c r="I53" s="210">
        <v>0</v>
      </c>
      <c r="J53" s="210">
        <v>50</v>
      </c>
      <c r="K53" s="210">
        <v>2</v>
      </c>
    </row>
    <row r="54" spans="1:11" ht="15.75">
      <c r="A54" s="6">
        <v>6.6</v>
      </c>
      <c r="B54" s="202" t="s">
        <v>67</v>
      </c>
      <c r="C54" s="196" t="str">
        <f>"0912-7LEK-C"&amp;A54&amp;"-"&amp;UPPER(LEFT(B54,1))&amp;""</f>
        <v>0912-7LEK-C6.6-U</v>
      </c>
      <c r="D54" s="209">
        <v>10</v>
      </c>
      <c r="E54" s="210">
        <v>45</v>
      </c>
      <c r="F54" s="210">
        <v>15</v>
      </c>
      <c r="G54" s="210">
        <v>15</v>
      </c>
      <c r="H54" s="210">
        <v>15</v>
      </c>
      <c r="I54" s="210">
        <v>0</v>
      </c>
      <c r="J54" s="210">
        <v>75</v>
      </c>
      <c r="K54" s="210">
        <v>3</v>
      </c>
    </row>
    <row r="55" spans="1:11" ht="15.75">
      <c r="A55" s="6">
        <v>6.7</v>
      </c>
      <c r="B55" s="202" t="s">
        <v>68</v>
      </c>
      <c r="C55" s="196" t="str">
        <f>"0912-7LEK-C"&amp;A55&amp;"-"&amp;UPPER(LEFT(B55,1))&amp;""</f>
        <v>0912-7LEK-C6.7-O</v>
      </c>
      <c r="D55" s="209">
        <v>9</v>
      </c>
      <c r="E55" s="210">
        <v>45</v>
      </c>
      <c r="F55" s="210">
        <v>15</v>
      </c>
      <c r="G55" s="210">
        <v>30</v>
      </c>
      <c r="H55" s="210">
        <v>0</v>
      </c>
      <c r="I55" s="210">
        <v>0</v>
      </c>
      <c r="J55" s="210">
        <v>75</v>
      </c>
      <c r="K55" s="210">
        <v>3</v>
      </c>
    </row>
    <row r="56" spans="1:11" ht="18.75" customHeight="1">
      <c r="A56" s="6">
        <v>6.8</v>
      </c>
      <c r="B56" s="202" t="s">
        <v>69</v>
      </c>
      <c r="C56" s="196" t="str">
        <f>"0912-7LEK-C"&amp;A56&amp;"-"&amp;UPPER(LEFT(B56,1))&amp;"R"</f>
        <v>0912-7LEK-C6.8-MR</v>
      </c>
      <c r="D56" s="209">
        <v>10</v>
      </c>
      <c r="E56" s="210">
        <v>40</v>
      </c>
      <c r="F56" s="210">
        <v>15</v>
      </c>
      <c r="G56" s="210">
        <v>10</v>
      </c>
      <c r="H56" s="210">
        <v>15</v>
      </c>
      <c r="I56" s="210">
        <v>0</v>
      </c>
      <c r="J56" s="210">
        <v>50</v>
      </c>
      <c r="K56" s="210">
        <v>2</v>
      </c>
    </row>
    <row r="57" spans="1:11" ht="15.75">
      <c r="A57" s="6">
        <v>6.9</v>
      </c>
      <c r="B57" s="202" t="s">
        <v>70</v>
      </c>
      <c r="C57" s="196" t="str">
        <f>"0912-7LEK-C"&amp;A57&amp;"-"&amp;UPPER(LEFT(B57,1))&amp;"iP"</f>
        <v>0912-7LEK-C6.9-GiP</v>
      </c>
      <c r="D57" s="209" t="s">
        <v>247</v>
      </c>
      <c r="E57" s="210">
        <v>110</v>
      </c>
      <c r="F57" s="210">
        <v>30</v>
      </c>
      <c r="G57" s="210">
        <v>55</v>
      </c>
      <c r="H57" s="210">
        <v>25</v>
      </c>
      <c r="I57" s="210">
        <v>0</v>
      </c>
      <c r="J57" s="210">
        <v>150</v>
      </c>
      <c r="K57" s="210">
        <v>6</v>
      </c>
    </row>
    <row r="58" spans="1:11" ht="15.75">
      <c r="A58" s="201">
        <v>6.1</v>
      </c>
      <c r="B58" s="202" t="s">
        <v>71</v>
      </c>
      <c r="C58" s="196" t="str">
        <f>"0912-7LEK-C"&amp;A58&amp;"-"&amp;UPPER(LEFT(B58,1))&amp;""</f>
        <v>0912-7LEK-C6.1-O</v>
      </c>
      <c r="D58" s="209">
        <v>10</v>
      </c>
      <c r="E58" s="210">
        <v>40</v>
      </c>
      <c r="F58" s="210">
        <v>15</v>
      </c>
      <c r="G58" s="210">
        <v>10</v>
      </c>
      <c r="H58" s="210">
        <v>15</v>
      </c>
      <c r="I58" s="210">
        <v>0</v>
      </c>
      <c r="J58" s="210">
        <v>50</v>
      </c>
      <c r="K58" s="210">
        <v>2</v>
      </c>
    </row>
    <row r="59" spans="1:11" ht="15.75">
      <c r="A59" s="201">
        <v>6.11</v>
      </c>
      <c r="B59" s="202" t="s">
        <v>72</v>
      </c>
      <c r="C59" s="196" t="str">
        <f>"0912-7LEK-C"&amp;A59&amp;"-"&amp;UPPER(LEFT(B59,1))&amp;""</f>
        <v>0912-7LEK-C6.11-N</v>
      </c>
      <c r="D59" s="209">
        <v>10</v>
      </c>
      <c r="E59" s="210">
        <v>45</v>
      </c>
      <c r="F59" s="210">
        <v>15</v>
      </c>
      <c r="G59" s="210">
        <v>15</v>
      </c>
      <c r="H59" s="210">
        <v>15</v>
      </c>
      <c r="I59" s="210">
        <v>0</v>
      </c>
      <c r="J59" s="210">
        <v>50</v>
      </c>
      <c r="K59" s="210">
        <v>2</v>
      </c>
    </row>
    <row r="60" spans="1:11" ht="15.75">
      <c r="A60" s="201">
        <v>6.12</v>
      </c>
      <c r="B60" s="202" t="s">
        <v>73</v>
      </c>
      <c r="C60" s="196" t="str">
        <f>"0912-7LEK-C"&amp;A60&amp;"-"&amp;UPPER(LEFT(B60,1))&amp;""</f>
        <v>0912-7LEK-C6.12-T</v>
      </c>
      <c r="D60" s="209" t="s">
        <v>129</v>
      </c>
      <c r="E60" s="210">
        <v>15</v>
      </c>
      <c r="F60" s="210">
        <v>15</v>
      </c>
      <c r="G60" s="210">
        <v>0</v>
      </c>
      <c r="H60" s="210">
        <v>0</v>
      </c>
      <c r="I60" s="210">
        <v>0</v>
      </c>
      <c r="J60" s="210">
        <v>25</v>
      </c>
      <c r="K60" s="210">
        <v>1</v>
      </c>
    </row>
    <row r="61" spans="1:11" ht="15.75">
      <c r="A61" s="201">
        <v>6.13</v>
      </c>
      <c r="B61" s="202" t="s">
        <v>74</v>
      </c>
      <c r="C61" s="196" t="str">
        <f>"0912-7LEK-C"&amp;A61&amp;"-"&amp;UPPER(LEFT(B61,1))&amp;"O"</f>
        <v>0912-7LEK-C6.13-DO</v>
      </c>
      <c r="D61" s="209">
        <v>8</v>
      </c>
      <c r="E61" s="210">
        <v>55</v>
      </c>
      <c r="F61" s="210">
        <v>15</v>
      </c>
      <c r="G61" s="210">
        <v>15</v>
      </c>
      <c r="H61" s="210">
        <v>25</v>
      </c>
      <c r="I61" s="210">
        <v>0</v>
      </c>
      <c r="J61" s="210">
        <v>75</v>
      </c>
      <c r="K61" s="210">
        <v>3</v>
      </c>
    </row>
    <row r="62" spans="1:11">
      <c r="A62" s="700" t="s">
        <v>9</v>
      </c>
      <c r="B62" s="701"/>
      <c r="C62" s="701"/>
      <c r="D62" s="702"/>
      <c r="E62" s="221">
        <f>SUM(E49:E61)</f>
        <v>900</v>
      </c>
      <c r="F62" s="221">
        <f t="shared" ref="F62:K62" si="7">SUM(F49:F61)</f>
        <v>300</v>
      </c>
      <c r="G62" s="221">
        <f t="shared" si="7"/>
        <v>310</v>
      </c>
      <c r="H62" s="221">
        <f t="shared" si="7"/>
        <v>290</v>
      </c>
      <c r="I62" s="221">
        <f t="shared" si="7"/>
        <v>0</v>
      </c>
      <c r="J62" s="221">
        <f t="shared" si="7"/>
        <v>1250</v>
      </c>
      <c r="K62" s="221">
        <f t="shared" si="7"/>
        <v>50</v>
      </c>
    </row>
    <row r="63" spans="1:11" s="226" customFormat="1">
      <c r="A63" s="693" t="s">
        <v>27</v>
      </c>
      <c r="B63" s="694"/>
      <c r="C63" s="694"/>
      <c r="D63" s="694"/>
      <c r="E63" s="694"/>
      <c r="F63" s="694"/>
      <c r="G63" s="694"/>
      <c r="H63" s="694"/>
      <c r="I63" s="694"/>
      <c r="J63" s="694"/>
      <c r="K63" s="695"/>
    </row>
    <row r="64" spans="1:11" ht="15.75">
      <c r="A64" s="195">
        <v>7.1</v>
      </c>
      <c r="B64" s="225" t="s">
        <v>75</v>
      </c>
      <c r="C64" s="196" t="str">
        <f>"0912-7LEK-C"&amp;A64&amp;"-"&amp;UPPER(LEFT(B64,1))</f>
        <v>0912-7LEK-C7.1-H</v>
      </c>
      <c r="D64" s="223" t="s">
        <v>243</v>
      </c>
      <c r="E64" s="224">
        <v>15</v>
      </c>
      <c r="F64" s="224">
        <v>15</v>
      </c>
      <c r="G64" s="224">
        <v>0</v>
      </c>
      <c r="H64" s="224">
        <v>0</v>
      </c>
      <c r="I64" s="224">
        <v>0</v>
      </c>
      <c r="J64" s="224">
        <v>25</v>
      </c>
      <c r="K64" s="224">
        <v>1</v>
      </c>
    </row>
    <row r="65" spans="1:11" ht="15.75">
      <c r="A65" s="6">
        <v>7.2</v>
      </c>
      <c r="B65" s="202" t="s">
        <v>76</v>
      </c>
      <c r="C65" s="17" t="str">
        <f>"0912-7LEK-C"&amp;A65&amp;"-"&amp;UPPER(LEFT(B65,1))</f>
        <v>0912-7LEK-C7.2-E</v>
      </c>
      <c r="D65" s="209" t="s">
        <v>243</v>
      </c>
      <c r="E65" s="210">
        <v>15</v>
      </c>
      <c r="F65" s="210">
        <v>15</v>
      </c>
      <c r="G65" s="210">
        <v>0</v>
      </c>
      <c r="H65" s="210">
        <v>0</v>
      </c>
      <c r="I65" s="210">
        <v>0</v>
      </c>
      <c r="J65" s="210">
        <v>25</v>
      </c>
      <c r="K65" s="210">
        <v>1</v>
      </c>
    </row>
    <row r="66" spans="1:11" ht="15.75">
      <c r="A66" s="6">
        <v>7.3</v>
      </c>
      <c r="B66" s="202" t="s">
        <v>77</v>
      </c>
      <c r="C66" s="17" t="str">
        <f>"0912-7LEK-C"&amp;A66&amp;"-"&amp;UPPER(LEFT(B66,1))</f>
        <v>0912-7LEK-C7.3-Z</v>
      </c>
      <c r="D66" s="209" t="s">
        <v>143</v>
      </c>
      <c r="E66" s="210">
        <v>15</v>
      </c>
      <c r="F66" s="210">
        <v>15</v>
      </c>
      <c r="G66" s="210">
        <v>0</v>
      </c>
      <c r="H66" s="210">
        <v>0</v>
      </c>
      <c r="I66" s="210">
        <v>0</v>
      </c>
      <c r="J66" s="210">
        <v>25</v>
      </c>
      <c r="K66" s="210">
        <v>1</v>
      </c>
    </row>
    <row r="67" spans="1:11" ht="15.75">
      <c r="A67" s="6">
        <v>7.4</v>
      </c>
      <c r="B67" s="202" t="s">
        <v>78</v>
      </c>
      <c r="C67" s="17" t="str">
        <f>"0912-7LEK-C"&amp;A67&amp;"-"&amp;UPPER(LEFT(B67,1))</f>
        <v>0912-7LEK-C7.4-P</v>
      </c>
      <c r="D67" s="209" t="s">
        <v>129</v>
      </c>
      <c r="E67" s="210">
        <v>15</v>
      </c>
      <c r="F67" s="210">
        <v>15</v>
      </c>
      <c r="G67" s="210">
        <v>0</v>
      </c>
      <c r="H67" s="210">
        <v>0</v>
      </c>
      <c r="I67" s="210">
        <v>0</v>
      </c>
      <c r="J67" s="210">
        <v>25</v>
      </c>
      <c r="K67" s="210">
        <v>1</v>
      </c>
    </row>
    <row r="68" spans="1:11" ht="15.75">
      <c r="A68" s="6">
        <v>7.5</v>
      </c>
      <c r="B68" s="202" t="s">
        <v>79</v>
      </c>
      <c r="C68" s="17" t="str">
        <f>"0912-7LEK-C"&amp;A68&amp;"-"&amp;UPPER(LEFT(B68,1))</f>
        <v>0912-7LEK-C7.5-M</v>
      </c>
      <c r="D68" s="209">
        <v>10</v>
      </c>
      <c r="E68" s="210">
        <v>45</v>
      </c>
      <c r="F68" s="210">
        <v>10</v>
      </c>
      <c r="G68" s="210">
        <v>15</v>
      </c>
      <c r="H68" s="210">
        <v>20</v>
      </c>
      <c r="I68" s="210">
        <v>0</v>
      </c>
      <c r="J68" s="210">
        <v>55</v>
      </c>
      <c r="K68" s="210">
        <v>2</v>
      </c>
    </row>
    <row r="69" spans="1:11">
      <c r="A69" s="700" t="s">
        <v>9</v>
      </c>
      <c r="B69" s="701"/>
      <c r="C69" s="701"/>
      <c r="D69" s="702"/>
      <c r="E69" s="221">
        <f>SUM(E64:E68)</f>
        <v>105</v>
      </c>
      <c r="F69" s="221">
        <f t="shared" ref="F69:K69" si="8">SUM(F64:F68)</f>
        <v>70</v>
      </c>
      <c r="G69" s="221">
        <f t="shared" si="8"/>
        <v>15</v>
      </c>
      <c r="H69" s="221">
        <f t="shared" si="8"/>
        <v>20</v>
      </c>
      <c r="I69" s="221">
        <f t="shared" si="8"/>
        <v>0</v>
      </c>
      <c r="J69" s="221">
        <f t="shared" si="8"/>
        <v>155</v>
      </c>
      <c r="K69" s="221">
        <f t="shared" si="8"/>
        <v>6</v>
      </c>
    </row>
    <row r="70" spans="1:11">
      <c r="A70" s="693" t="s">
        <v>28</v>
      </c>
      <c r="B70" s="694"/>
      <c r="C70" s="694"/>
      <c r="D70" s="694"/>
      <c r="E70" s="694"/>
      <c r="F70" s="694"/>
      <c r="G70" s="694"/>
      <c r="H70" s="694"/>
      <c r="I70" s="694"/>
      <c r="J70" s="694"/>
      <c r="K70" s="695"/>
    </row>
    <row r="71" spans="1:11" ht="15.75">
      <c r="A71" s="195">
        <v>8.1</v>
      </c>
      <c r="B71" s="225" t="s">
        <v>80</v>
      </c>
      <c r="C71" s="196" t="str">
        <f>"0912-7LEK-C"&amp;A71&amp;"-"&amp;UPPER(LEFT(B71,1))</f>
        <v>0912-7LEK-C8.1-C</v>
      </c>
      <c r="D71" s="223" t="s">
        <v>133</v>
      </c>
      <c r="E71" s="224">
        <v>240</v>
      </c>
      <c r="F71" s="224">
        <v>0</v>
      </c>
      <c r="G71" s="224">
        <v>0</v>
      </c>
      <c r="H71" s="224">
        <v>240</v>
      </c>
      <c r="I71" s="224">
        <v>0</v>
      </c>
      <c r="J71" s="224">
        <v>400</v>
      </c>
      <c r="K71" s="224">
        <v>16</v>
      </c>
    </row>
    <row r="72" spans="1:11" ht="15.75">
      <c r="A72" s="6">
        <v>8.1999999999999993</v>
      </c>
      <c r="B72" s="202" t="s">
        <v>51</v>
      </c>
      <c r="C72" s="17" t="str">
        <f t="shared" ref="C72:C78" si="9">"0912-7LEK-C"&amp;A72&amp;"-"&amp;UPPER(LEFT(B72,1))</f>
        <v>0912-7LEK-C8.2-P</v>
      </c>
      <c r="D72" s="209" t="s">
        <v>133</v>
      </c>
      <c r="E72" s="210">
        <v>120</v>
      </c>
      <c r="F72" s="210">
        <v>0</v>
      </c>
      <c r="G72" s="210">
        <v>0</v>
      </c>
      <c r="H72" s="210">
        <v>120</v>
      </c>
      <c r="I72" s="210">
        <v>0</v>
      </c>
      <c r="J72" s="210">
        <v>200</v>
      </c>
      <c r="K72" s="210">
        <v>8</v>
      </c>
    </row>
    <row r="73" spans="1:11" ht="15.75">
      <c r="A73" s="6">
        <v>8.3000000000000007</v>
      </c>
      <c r="B73" s="202" t="s">
        <v>81</v>
      </c>
      <c r="C73" s="17" t="str">
        <f t="shared" si="9"/>
        <v>0912-7LEK-C8.3-C</v>
      </c>
      <c r="D73" s="209" t="s">
        <v>250</v>
      </c>
      <c r="E73" s="210">
        <v>120</v>
      </c>
      <c r="F73" s="210">
        <v>0</v>
      </c>
      <c r="G73" s="210">
        <v>0</v>
      </c>
      <c r="H73" s="210">
        <v>120</v>
      </c>
      <c r="I73" s="210">
        <v>0</v>
      </c>
      <c r="J73" s="210">
        <v>200</v>
      </c>
      <c r="K73" s="210">
        <v>8</v>
      </c>
    </row>
    <row r="74" spans="1:11" ht="15.75">
      <c r="A74" s="6">
        <v>8.4</v>
      </c>
      <c r="B74" s="202" t="s">
        <v>70</v>
      </c>
      <c r="C74" s="17" t="str">
        <f t="shared" si="9"/>
        <v>0912-7LEK-C8.4-G</v>
      </c>
      <c r="D74" s="209" t="s">
        <v>134</v>
      </c>
      <c r="E74" s="210">
        <v>60</v>
      </c>
      <c r="F74" s="210">
        <v>0</v>
      </c>
      <c r="G74" s="210">
        <v>0</v>
      </c>
      <c r="H74" s="210">
        <v>60</v>
      </c>
      <c r="I74" s="210">
        <v>0</v>
      </c>
      <c r="J74" s="210">
        <v>100</v>
      </c>
      <c r="K74" s="210">
        <v>4</v>
      </c>
    </row>
    <row r="75" spans="1:11" ht="15.75">
      <c r="A75" s="6">
        <v>8.5</v>
      </c>
      <c r="B75" s="202" t="s">
        <v>54</v>
      </c>
      <c r="C75" s="17" t="str">
        <f t="shared" si="9"/>
        <v>0912-7LEK-C8.5-P</v>
      </c>
      <c r="D75" s="209" t="s">
        <v>134</v>
      </c>
      <c r="E75" s="210">
        <v>60</v>
      </c>
      <c r="F75" s="210">
        <v>0</v>
      </c>
      <c r="G75" s="210">
        <v>0</v>
      </c>
      <c r="H75" s="210">
        <v>60</v>
      </c>
      <c r="I75" s="210">
        <v>0</v>
      </c>
      <c r="J75" s="210">
        <v>100</v>
      </c>
      <c r="K75" s="210">
        <v>4</v>
      </c>
    </row>
    <row r="76" spans="1:11" ht="15.75">
      <c r="A76" s="6">
        <v>8.6</v>
      </c>
      <c r="B76" s="202" t="s">
        <v>82</v>
      </c>
      <c r="C76" s="17" t="str">
        <f>"0912-7LEK-C"&amp;A76&amp;"-"&amp;UPPER(LEFT(B76,1))&amp;"R"</f>
        <v>0912-7LEK-C8.6-MR</v>
      </c>
      <c r="D76" s="209" t="s">
        <v>134</v>
      </c>
      <c r="E76" s="210">
        <v>60</v>
      </c>
      <c r="F76" s="210">
        <v>0</v>
      </c>
      <c r="G76" s="210">
        <v>0</v>
      </c>
      <c r="H76" s="210">
        <v>60</v>
      </c>
      <c r="I76" s="210">
        <v>0</v>
      </c>
      <c r="J76" s="210">
        <v>100</v>
      </c>
      <c r="K76" s="210">
        <v>4</v>
      </c>
    </row>
    <row r="77" spans="1:11" ht="15.75">
      <c r="A77" s="6">
        <v>8.6999999999999993</v>
      </c>
      <c r="B77" s="202" t="s">
        <v>56</v>
      </c>
      <c r="C77" s="17" t="str">
        <f t="shared" si="9"/>
        <v>0912-7LEK-C8.7-M</v>
      </c>
      <c r="D77" s="209" t="s">
        <v>134</v>
      </c>
      <c r="E77" s="210">
        <v>60</v>
      </c>
      <c r="F77" s="210">
        <v>0</v>
      </c>
      <c r="G77" s="210">
        <v>0</v>
      </c>
      <c r="H77" s="210">
        <v>60</v>
      </c>
      <c r="I77" s="210">
        <v>0</v>
      </c>
      <c r="J77" s="210">
        <v>100</v>
      </c>
      <c r="K77" s="210">
        <v>4</v>
      </c>
    </row>
    <row r="78" spans="1:11" ht="15.75">
      <c r="A78" s="6">
        <v>8.8000000000000007</v>
      </c>
      <c r="B78" s="202" t="s">
        <v>33</v>
      </c>
      <c r="C78" s="17" t="str">
        <f t="shared" si="9"/>
        <v>0912-7LEK-C8.8-S</v>
      </c>
      <c r="D78" s="209" t="s">
        <v>134</v>
      </c>
      <c r="E78" s="210">
        <v>180</v>
      </c>
      <c r="F78" s="210">
        <v>0</v>
      </c>
      <c r="G78" s="210">
        <v>0</v>
      </c>
      <c r="H78" s="210">
        <v>180</v>
      </c>
      <c r="I78" s="210">
        <v>0</v>
      </c>
      <c r="J78" s="210">
        <v>300</v>
      </c>
      <c r="K78" s="210">
        <v>12</v>
      </c>
    </row>
    <row r="79" spans="1:11">
      <c r="A79" s="700" t="s">
        <v>9</v>
      </c>
      <c r="B79" s="701"/>
      <c r="C79" s="701"/>
      <c r="D79" s="702"/>
      <c r="E79" s="221">
        <f>SUM(E71:E78)</f>
        <v>900</v>
      </c>
      <c r="F79" s="221">
        <f t="shared" ref="F79:K79" si="10">SUM(F71:F78)</f>
        <v>0</v>
      </c>
      <c r="G79" s="221">
        <f t="shared" si="10"/>
        <v>0</v>
      </c>
      <c r="H79" s="221">
        <f t="shared" si="10"/>
        <v>900</v>
      </c>
      <c r="I79" s="221">
        <f t="shared" si="10"/>
        <v>0</v>
      </c>
      <c r="J79" s="221">
        <f t="shared" si="10"/>
        <v>1500</v>
      </c>
      <c r="K79" s="221">
        <f t="shared" si="10"/>
        <v>60</v>
      </c>
    </row>
    <row r="80" spans="1:11">
      <c r="A80" s="693" t="s">
        <v>29</v>
      </c>
      <c r="B80" s="694"/>
      <c r="C80" s="694"/>
      <c r="D80" s="694"/>
      <c r="E80" s="694"/>
      <c r="F80" s="694"/>
      <c r="G80" s="694"/>
      <c r="H80" s="694"/>
      <c r="I80" s="694"/>
      <c r="J80" s="694"/>
      <c r="K80" s="695"/>
    </row>
    <row r="81" spans="1:11" ht="15.75">
      <c r="A81" s="195">
        <v>9.1</v>
      </c>
      <c r="B81" s="225" t="s">
        <v>83</v>
      </c>
      <c r="C81" s="196" t="str">
        <f t="shared" ref="C81:C88" si="11">"0912-7LEK-C"&amp;A81&amp;"-"&amp;UPPER(LEFT(B81,1))</f>
        <v>0912-7LEK-C9.1-O</v>
      </c>
      <c r="D81" s="223" t="s">
        <v>242</v>
      </c>
      <c r="E81" s="224">
        <v>120</v>
      </c>
      <c r="F81" s="224">
        <v>0</v>
      </c>
      <c r="G81" s="224">
        <v>0</v>
      </c>
      <c r="H81" s="230">
        <v>120</v>
      </c>
      <c r="I81" s="224">
        <v>0</v>
      </c>
      <c r="J81" s="224">
        <v>120</v>
      </c>
      <c r="K81" s="224">
        <v>4</v>
      </c>
    </row>
    <row r="82" spans="1:11" ht="15.75">
      <c r="A82" s="6">
        <v>9.1999999999999993</v>
      </c>
      <c r="B82" s="202" t="s">
        <v>84</v>
      </c>
      <c r="C82" s="17" t="str">
        <f t="shared" si="11"/>
        <v>0912-7LEK-C9.2-L</v>
      </c>
      <c r="D82" s="209" t="s">
        <v>143</v>
      </c>
      <c r="E82" s="210">
        <v>90</v>
      </c>
      <c r="F82" s="210">
        <v>0</v>
      </c>
      <c r="G82" s="210">
        <v>0</v>
      </c>
      <c r="H82" s="216">
        <v>90</v>
      </c>
      <c r="I82" s="210">
        <v>0</v>
      </c>
      <c r="J82" s="210">
        <v>90</v>
      </c>
      <c r="K82" s="210">
        <v>3</v>
      </c>
    </row>
    <row r="83" spans="1:11" ht="15.75">
      <c r="A83" s="6">
        <v>9.3000000000000007</v>
      </c>
      <c r="B83" s="202" t="s">
        <v>85</v>
      </c>
      <c r="C83" s="17" t="str">
        <f t="shared" si="11"/>
        <v>0912-7LEK-C9.3-P</v>
      </c>
      <c r="D83" s="209" t="s">
        <v>143</v>
      </c>
      <c r="E83" s="210">
        <v>30</v>
      </c>
      <c r="F83" s="210">
        <v>0</v>
      </c>
      <c r="G83" s="210">
        <v>0</v>
      </c>
      <c r="H83" s="216">
        <v>30</v>
      </c>
      <c r="I83" s="210">
        <v>0</v>
      </c>
      <c r="J83" s="210">
        <v>30</v>
      </c>
      <c r="K83" s="210">
        <v>1</v>
      </c>
    </row>
    <row r="84" spans="1:11" ht="15.75">
      <c r="A84" s="6">
        <v>9.4</v>
      </c>
      <c r="B84" s="202" t="s">
        <v>80</v>
      </c>
      <c r="C84" s="17" t="str">
        <f t="shared" si="11"/>
        <v>0912-7LEK-C9.4-C</v>
      </c>
      <c r="D84" s="209" t="s">
        <v>146</v>
      </c>
      <c r="E84" s="210">
        <v>120</v>
      </c>
      <c r="F84" s="210">
        <v>0</v>
      </c>
      <c r="G84" s="210">
        <v>0</v>
      </c>
      <c r="H84" s="216">
        <v>120</v>
      </c>
      <c r="I84" s="210">
        <v>0</v>
      </c>
      <c r="J84" s="210">
        <v>120</v>
      </c>
      <c r="K84" s="210">
        <v>4</v>
      </c>
    </row>
    <row r="85" spans="1:11" ht="15.75">
      <c r="A85" s="6">
        <v>9.5</v>
      </c>
      <c r="B85" s="202" t="s">
        <v>86</v>
      </c>
      <c r="C85" s="17" t="str">
        <f t="shared" si="11"/>
        <v>0912-7LEK-C9.5-I</v>
      </c>
      <c r="D85" s="209" t="s">
        <v>144</v>
      </c>
      <c r="E85" s="210">
        <v>60</v>
      </c>
      <c r="F85" s="210">
        <v>0</v>
      </c>
      <c r="G85" s="210">
        <v>0</v>
      </c>
      <c r="H85" s="216">
        <v>60</v>
      </c>
      <c r="I85" s="210">
        <v>0</v>
      </c>
      <c r="J85" s="210">
        <v>60</v>
      </c>
      <c r="K85" s="210">
        <v>2</v>
      </c>
    </row>
    <row r="86" spans="1:11" ht="15.75">
      <c r="A86" s="6">
        <v>9.6</v>
      </c>
      <c r="B86" s="202" t="s">
        <v>51</v>
      </c>
      <c r="C86" s="17" t="str">
        <f t="shared" si="11"/>
        <v>0912-7LEK-C9.6-P</v>
      </c>
      <c r="D86" s="209" t="s">
        <v>144</v>
      </c>
      <c r="E86" s="210">
        <v>60</v>
      </c>
      <c r="F86" s="210">
        <v>0</v>
      </c>
      <c r="G86" s="210">
        <v>0</v>
      </c>
      <c r="H86" s="216">
        <v>60</v>
      </c>
      <c r="I86" s="210">
        <v>0</v>
      </c>
      <c r="J86" s="210">
        <v>60</v>
      </c>
      <c r="K86" s="210">
        <v>2</v>
      </c>
    </row>
    <row r="87" spans="1:11" ht="15.75">
      <c r="A87" s="6">
        <v>9.6999999999999993</v>
      </c>
      <c r="B87" s="202" t="s">
        <v>81</v>
      </c>
      <c r="C87" s="17" t="str">
        <f t="shared" si="11"/>
        <v>0912-7LEK-C9.7-C</v>
      </c>
      <c r="D87" s="209" t="s">
        <v>132</v>
      </c>
      <c r="E87" s="210">
        <v>60</v>
      </c>
      <c r="F87" s="210">
        <v>0</v>
      </c>
      <c r="G87" s="210">
        <v>0</v>
      </c>
      <c r="H87" s="216">
        <v>60</v>
      </c>
      <c r="I87" s="210">
        <v>0</v>
      </c>
      <c r="J87" s="210">
        <v>60</v>
      </c>
      <c r="K87" s="210">
        <v>2</v>
      </c>
    </row>
    <row r="88" spans="1:11" ht="15.75">
      <c r="A88" s="6">
        <v>9.8000000000000007</v>
      </c>
      <c r="B88" s="202" t="s">
        <v>70</v>
      </c>
      <c r="C88" s="17" t="str">
        <f t="shared" si="11"/>
        <v>0912-7LEK-C9.8-G</v>
      </c>
      <c r="D88" s="209" t="s">
        <v>132</v>
      </c>
      <c r="E88" s="210">
        <v>60</v>
      </c>
      <c r="F88" s="210">
        <v>0</v>
      </c>
      <c r="G88" s="210">
        <v>0</v>
      </c>
      <c r="H88" s="216">
        <v>60</v>
      </c>
      <c r="I88" s="210">
        <v>0</v>
      </c>
      <c r="J88" s="210">
        <v>60</v>
      </c>
      <c r="K88" s="210">
        <v>2</v>
      </c>
    </row>
    <row r="89" spans="1:11">
      <c r="A89" s="706" t="s">
        <v>9</v>
      </c>
      <c r="B89" s="706"/>
      <c r="C89" s="261"/>
      <c r="D89" s="211"/>
      <c r="E89" s="214">
        <f t="shared" ref="E89:K89" si="12">SUM(E81:E88)</f>
        <v>600</v>
      </c>
      <c r="F89" s="214">
        <f t="shared" si="12"/>
        <v>0</v>
      </c>
      <c r="G89" s="214">
        <f t="shared" si="12"/>
        <v>0</v>
      </c>
      <c r="H89" s="214">
        <f t="shared" si="12"/>
        <v>600</v>
      </c>
      <c r="I89" s="214">
        <f t="shared" si="12"/>
        <v>0</v>
      </c>
      <c r="J89" s="214">
        <f t="shared" si="12"/>
        <v>600</v>
      </c>
      <c r="K89" s="214">
        <f t="shared" si="12"/>
        <v>20</v>
      </c>
    </row>
    <row r="90" spans="1:11">
      <c r="A90" s="693" t="s">
        <v>31</v>
      </c>
      <c r="B90" s="694"/>
      <c r="C90" s="694"/>
      <c r="D90" s="694"/>
      <c r="E90" s="694"/>
      <c r="F90" s="694"/>
      <c r="G90" s="694"/>
      <c r="H90" s="694"/>
      <c r="I90" s="694"/>
      <c r="J90" s="694"/>
      <c r="K90" s="695"/>
    </row>
    <row r="91" spans="1:11" ht="15.75">
      <c r="A91" s="6">
        <v>10.1</v>
      </c>
      <c r="B91" s="202" t="s">
        <v>17</v>
      </c>
      <c r="C91" s="17" t="str">
        <f>"0912-7LEK-A"&amp;A91&amp;"-"&amp;UPPER(LEFT(B91,1))&amp;"A"</f>
        <v>0912-7LEK-A10.1-JA</v>
      </c>
      <c r="D91" s="209" t="s">
        <v>239</v>
      </c>
      <c r="E91" s="210">
        <v>120</v>
      </c>
      <c r="F91" s="210">
        <v>0</v>
      </c>
      <c r="G91" s="210">
        <v>120</v>
      </c>
      <c r="H91" s="210">
        <v>0</v>
      </c>
      <c r="I91" s="210">
        <v>0</v>
      </c>
      <c r="J91" s="210">
        <v>180</v>
      </c>
      <c r="K91" s="210">
        <v>6</v>
      </c>
    </row>
    <row r="92" spans="1:11" ht="15.75">
      <c r="A92" s="6">
        <v>10.199999999999999</v>
      </c>
      <c r="B92" s="202" t="s">
        <v>206</v>
      </c>
      <c r="C92" s="17" t="str">
        <f>"0912-7LEK-A"&amp;A92&amp;"-"&amp;UPPER(LEFT(B92,1))&amp;"O"</f>
        <v>0912-7LEK-A10.2-JO</v>
      </c>
      <c r="D92" s="209" t="s">
        <v>240</v>
      </c>
      <c r="E92" s="210">
        <v>50</v>
      </c>
      <c r="F92" s="210">
        <v>0</v>
      </c>
      <c r="G92" s="210">
        <v>50</v>
      </c>
      <c r="H92" s="210">
        <v>0</v>
      </c>
      <c r="I92" s="210">
        <v>0</v>
      </c>
      <c r="J92" s="210">
        <v>60</v>
      </c>
      <c r="K92" s="210">
        <v>2</v>
      </c>
    </row>
    <row r="93" spans="1:11" ht="15.75">
      <c r="A93" s="6">
        <v>10.3</v>
      </c>
      <c r="B93" s="202" t="s">
        <v>19</v>
      </c>
      <c r="C93" s="17" t="str">
        <f>"0912-7LEK-A"&amp;A93&amp;"-"&amp;UPPER(LEFT(B93,1))&amp;"Ł"</f>
        <v>0912-7LEK-A10.3-JŁ</v>
      </c>
      <c r="D93" s="209" t="s">
        <v>241</v>
      </c>
      <c r="E93" s="210">
        <v>30</v>
      </c>
      <c r="F93" s="210">
        <v>0</v>
      </c>
      <c r="G93" s="210">
        <v>30</v>
      </c>
      <c r="H93" s="210">
        <v>0</v>
      </c>
      <c r="I93" s="210">
        <v>0</v>
      </c>
      <c r="J93" s="210">
        <v>30</v>
      </c>
      <c r="K93" s="210">
        <v>1</v>
      </c>
    </row>
    <row r="94" spans="1:11" ht="18.75" customHeight="1">
      <c r="A94" s="6">
        <v>10.4</v>
      </c>
      <c r="B94" s="202" t="s">
        <v>87</v>
      </c>
      <c r="C94" s="17" t="str">
        <f>"0912-7LEK-A"&amp;A94&amp;"-"&amp;UPPER(LEFT(B94,1))&amp;"B"</f>
        <v>0912-7LEK-A10.4-PB</v>
      </c>
      <c r="D94" s="209" t="s">
        <v>241</v>
      </c>
      <c r="E94" s="210">
        <v>2</v>
      </c>
      <c r="F94" s="210">
        <v>0</v>
      </c>
      <c r="G94" s="210">
        <v>2</v>
      </c>
      <c r="H94" s="210">
        <v>0</v>
      </c>
      <c r="I94" s="210">
        <v>0</v>
      </c>
      <c r="J94" s="210">
        <v>2</v>
      </c>
      <c r="K94" s="210">
        <v>0</v>
      </c>
    </row>
    <row r="95" spans="1:11" ht="15.75" customHeight="1">
      <c r="A95" s="6">
        <v>10.5</v>
      </c>
      <c r="B95" s="202" t="s">
        <v>30</v>
      </c>
      <c r="C95" s="17" t="str">
        <f>"0912-7LEK-A"&amp;A95&amp;"-"&amp;UPPER(LEFT(B95,1))&amp;"HP"</f>
        <v>0912-7LEK-A10.5-BHP</v>
      </c>
      <c r="D95" s="209" t="s">
        <v>242</v>
      </c>
      <c r="E95" s="210">
        <v>5</v>
      </c>
      <c r="F95" s="210">
        <v>5</v>
      </c>
      <c r="G95" s="210">
        <v>0</v>
      </c>
      <c r="H95" s="210">
        <v>0</v>
      </c>
      <c r="I95" s="210">
        <v>0</v>
      </c>
      <c r="J95" s="210">
        <v>5</v>
      </c>
      <c r="K95" s="210">
        <v>0</v>
      </c>
    </row>
    <row r="96" spans="1:11" ht="18.75" customHeight="1">
      <c r="A96" s="6">
        <v>10.6</v>
      </c>
      <c r="B96" s="202" t="s">
        <v>109</v>
      </c>
      <c r="C96" s="17" t="str">
        <f>"0912-7LEK-A"&amp;A96&amp;"-"&amp;UPPER(LEFT(B96,1))&amp;"F"</f>
        <v>0912-7LEK-A10.6-WF</v>
      </c>
      <c r="D96" s="209" t="s">
        <v>123</v>
      </c>
      <c r="E96" s="210">
        <v>180</v>
      </c>
      <c r="F96" s="210">
        <v>0</v>
      </c>
      <c r="G96" s="210">
        <v>180</v>
      </c>
      <c r="H96" s="210">
        <v>0</v>
      </c>
      <c r="I96" s="210">
        <v>0</v>
      </c>
      <c r="J96" s="210">
        <v>180</v>
      </c>
      <c r="K96" s="210">
        <v>0</v>
      </c>
    </row>
    <row r="97" spans="1:11">
      <c r="A97" s="713">
        <v>10.7</v>
      </c>
      <c r="B97" s="707" t="s">
        <v>122</v>
      </c>
      <c r="C97" s="708"/>
      <c r="D97" s="209" t="s">
        <v>243</v>
      </c>
      <c r="E97" s="210">
        <v>30</v>
      </c>
      <c r="F97" s="210">
        <v>0</v>
      </c>
      <c r="G97" s="210">
        <v>30</v>
      </c>
      <c r="H97" s="210">
        <v>0</v>
      </c>
      <c r="I97" s="210">
        <v>0</v>
      </c>
      <c r="J97" s="210">
        <v>60</v>
      </c>
      <c r="K97" s="210">
        <v>2</v>
      </c>
    </row>
    <row r="98" spans="1:11">
      <c r="A98" s="714"/>
      <c r="B98" s="709"/>
      <c r="C98" s="710"/>
      <c r="D98" s="209" t="s">
        <v>143</v>
      </c>
      <c r="E98" s="210">
        <v>30</v>
      </c>
      <c r="F98" s="210">
        <v>0</v>
      </c>
      <c r="G98" s="210">
        <v>30</v>
      </c>
      <c r="H98" s="210">
        <v>0</v>
      </c>
      <c r="I98" s="210">
        <v>0</v>
      </c>
      <c r="J98" s="210">
        <v>60</v>
      </c>
      <c r="K98" s="210">
        <v>2</v>
      </c>
    </row>
    <row r="99" spans="1:11">
      <c r="A99" s="706" t="s">
        <v>9</v>
      </c>
      <c r="B99" s="706"/>
      <c r="C99" s="261"/>
      <c r="D99" s="211"/>
      <c r="E99" s="214">
        <f t="shared" ref="E99:J99" si="13">SUM(E91:E96)</f>
        <v>387</v>
      </c>
      <c r="F99" s="214">
        <f t="shared" si="13"/>
        <v>5</v>
      </c>
      <c r="G99" s="214">
        <f t="shared" si="13"/>
        <v>382</v>
      </c>
      <c r="H99" s="214">
        <f t="shared" si="13"/>
        <v>0</v>
      </c>
      <c r="I99" s="214">
        <f t="shared" si="13"/>
        <v>0</v>
      </c>
      <c r="J99" s="214">
        <f t="shared" si="13"/>
        <v>457</v>
      </c>
      <c r="K99" s="214">
        <f>SUM(K91:K98)</f>
        <v>13</v>
      </c>
    </row>
    <row r="100" spans="1:11">
      <c r="A100" s="693" t="s">
        <v>238</v>
      </c>
      <c r="B100" s="694"/>
      <c r="C100" s="694"/>
      <c r="D100" s="694"/>
      <c r="E100" s="694"/>
      <c r="F100" s="694"/>
      <c r="G100" s="694"/>
      <c r="H100" s="694"/>
      <c r="I100" s="694"/>
      <c r="J100" s="694"/>
      <c r="K100" s="695"/>
    </row>
    <row r="101" spans="1:11" ht="15.75">
      <c r="A101" s="253">
        <v>1</v>
      </c>
      <c r="B101" s="208" t="s">
        <v>118</v>
      </c>
      <c r="C101" s="17"/>
      <c r="D101" s="209" t="s">
        <v>241</v>
      </c>
      <c r="E101" s="210">
        <v>15</v>
      </c>
      <c r="F101" s="210">
        <v>15</v>
      </c>
      <c r="G101" s="210">
        <v>0</v>
      </c>
      <c r="H101" s="210">
        <v>0</v>
      </c>
      <c r="I101" s="210">
        <v>0</v>
      </c>
      <c r="J101" s="210">
        <v>25</v>
      </c>
      <c r="K101" s="210">
        <v>1</v>
      </c>
    </row>
    <row r="102" spans="1:11" ht="15.75">
      <c r="A102" s="253">
        <v>2</v>
      </c>
      <c r="B102" s="208" t="s">
        <v>118</v>
      </c>
      <c r="C102" s="17"/>
      <c r="D102" s="209" t="s">
        <v>241</v>
      </c>
      <c r="E102" s="210">
        <v>15</v>
      </c>
      <c r="F102" s="210">
        <v>15</v>
      </c>
      <c r="G102" s="210">
        <v>0</v>
      </c>
      <c r="H102" s="210">
        <v>0</v>
      </c>
      <c r="I102" s="210">
        <v>0</v>
      </c>
      <c r="J102" s="210">
        <v>25</v>
      </c>
      <c r="K102" s="210">
        <v>1</v>
      </c>
    </row>
    <row r="103" spans="1:11" ht="15.75">
      <c r="A103" s="253">
        <v>3</v>
      </c>
      <c r="B103" s="208" t="s">
        <v>118</v>
      </c>
      <c r="C103" s="17"/>
      <c r="D103" s="209" t="s">
        <v>242</v>
      </c>
      <c r="E103" s="210">
        <v>15</v>
      </c>
      <c r="F103" s="210">
        <v>15</v>
      </c>
      <c r="G103" s="210">
        <v>0</v>
      </c>
      <c r="H103" s="210">
        <v>0</v>
      </c>
      <c r="I103" s="210">
        <v>0</v>
      </c>
      <c r="J103" s="210">
        <v>25</v>
      </c>
      <c r="K103" s="210">
        <v>1</v>
      </c>
    </row>
    <row r="104" spans="1:11" ht="15.75">
      <c r="A104" s="253">
        <v>4</v>
      </c>
      <c r="B104" s="208" t="s">
        <v>118</v>
      </c>
      <c r="C104" s="17"/>
      <c r="D104" s="209" t="s">
        <v>242</v>
      </c>
      <c r="E104" s="210">
        <v>15</v>
      </c>
      <c r="F104" s="210">
        <v>15</v>
      </c>
      <c r="G104" s="210">
        <v>0</v>
      </c>
      <c r="H104" s="210">
        <v>0</v>
      </c>
      <c r="I104" s="210">
        <v>0</v>
      </c>
      <c r="J104" s="210">
        <v>25</v>
      </c>
      <c r="K104" s="210">
        <v>1</v>
      </c>
    </row>
    <row r="105" spans="1:11" ht="15.75">
      <c r="A105" s="253">
        <v>5</v>
      </c>
      <c r="B105" s="208" t="s">
        <v>118</v>
      </c>
      <c r="C105" s="17"/>
      <c r="D105" s="209" t="s">
        <v>243</v>
      </c>
      <c r="E105" s="210">
        <v>15</v>
      </c>
      <c r="F105" s="210">
        <v>15</v>
      </c>
      <c r="G105" s="210">
        <v>0</v>
      </c>
      <c r="H105" s="210">
        <v>0</v>
      </c>
      <c r="I105" s="210">
        <v>0</v>
      </c>
      <c r="J105" s="210">
        <v>25</v>
      </c>
      <c r="K105" s="210">
        <v>1</v>
      </c>
    </row>
    <row r="106" spans="1:11" ht="15.75">
      <c r="A106" s="253">
        <v>6</v>
      </c>
      <c r="B106" s="208" t="s">
        <v>118</v>
      </c>
      <c r="C106" s="17"/>
      <c r="D106" s="209" t="s">
        <v>243</v>
      </c>
      <c r="E106" s="210">
        <v>15</v>
      </c>
      <c r="F106" s="210">
        <v>15</v>
      </c>
      <c r="G106" s="210">
        <v>0</v>
      </c>
      <c r="H106" s="210">
        <v>0</v>
      </c>
      <c r="I106" s="210">
        <v>0</v>
      </c>
      <c r="J106" s="210">
        <v>25</v>
      </c>
      <c r="K106" s="210">
        <v>1</v>
      </c>
    </row>
    <row r="107" spans="1:11" ht="15.75">
      <c r="A107" s="253">
        <v>7</v>
      </c>
      <c r="B107" s="208" t="s">
        <v>118</v>
      </c>
      <c r="C107" s="17"/>
      <c r="D107" s="209" t="s">
        <v>243</v>
      </c>
      <c r="E107" s="210">
        <v>15</v>
      </c>
      <c r="F107" s="210">
        <v>15</v>
      </c>
      <c r="G107" s="210">
        <v>0</v>
      </c>
      <c r="H107" s="210">
        <v>0</v>
      </c>
      <c r="I107" s="210">
        <v>0</v>
      </c>
      <c r="J107" s="210">
        <v>25</v>
      </c>
      <c r="K107" s="210">
        <v>1</v>
      </c>
    </row>
    <row r="108" spans="1:11" ht="15.75">
      <c r="A108" s="253">
        <v>8</v>
      </c>
      <c r="B108" s="208" t="s">
        <v>118</v>
      </c>
      <c r="C108" s="17"/>
      <c r="D108" s="209" t="s">
        <v>143</v>
      </c>
      <c r="E108" s="210">
        <v>15</v>
      </c>
      <c r="F108" s="210">
        <v>15</v>
      </c>
      <c r="G108" s="210">
        <v>0</v>
      </c>
      <c r="H108" s="210">
        <v>0</v>
      </c>
      <c r="I108" s="210">
        <v>0</v>
      </c>
      <c r="J108" s="210">
        <v>25</v>
      </c>
      <c r="K108" s="210">
        <v>1</v>
      </c>
    </row>
    <row r="109" spans="1:11" ht="15.75">
      <c r="A109" s="253">
        <v>9</v>
      </c>
      <c r="B109" s="208" t="s">
        <v>118</v>
      </c>
      <c r="C109" s="17"/>
      <c r="D109" s="209" t="s">
        <v>143</v>
      </c>
      <c r="E109" s="210">
        <v>15</v>
      </c>
      <c r="F109" s="210">
        <v>15</v>
      </c>
      <c r="G109" s="210">
        <v>0</v>
      </c>
      <c r="H109" s="210">
        <v>0</v>
      </c>
      <c r="I109" s="210">
        <v>0</v>
      </c>
      <c r="J109" s="210">
        <v>25</v>
      </c>
      <c r="K109" s="210">
        <v>1</v>
      </c>
    </row>
    <row r="110" spans="1:11" ht="15.75">
      <c r="A110" s="253">
        <v>10</v>
      </c>
      <c r="B110" s="208" t="s">
        <v>118</v>
      </c>
      <c r="C110" s="17"/>
      <c r="D110" s="209" t="s">
        <v>143</v>
      </c>
      <c r="E110" s="210">
        <v>15</v>
      </c>
      <c r="F110" s="210">
        <v>15</v>
      </c>
      <c r="G110" s="210">
        <v>0</v>
      </c>
      <c r="H110" s="210">
        <v>0</v>
      </c>
      <c r="I110" s="210">
        <v>0</v>
      </c>
      <c r="J110" s="210">
        <v>25</v>
      </c>
      <c r="K110" s="210">
        <v>1</v>
      </c>
    </row>
    <row r="111" spans="1:11" ht="15.75">
      <c r="A111" s="253">
        <v>11</v>
      </c>
      <c r="B111" s="208" t="s">
        <v>118</v>
      </c>
      <c r="C111" s="17"/>
      <c r="D111" s="209" t="s">
        <v>145</v>
      </c>
      <c r="E111" s="210">
        <v>15</v>
      </c>
      <c r="F111" s="210">
        <v>15</v>
      </c>
      <c r="G111" s="210">
        <v>0</v>
      </c>
      <c r="H111" s="210">
        <v>0</v>
      </c>
      <c r="I111" s="210">
        <v>0</v>
      </c>
      <c r="J111" s="210">
        <v>25</v>
      </c>
      <c r="K111" s="210">
        <v>1</v>
      </c>
    </row>
    <row r="112" spans="1:11" ht="15.75">
      <c r="A112" s="253">
        <v>12</v>
      </c>
      <c r="B112" s="208" t="s">
        <v>118</v>
      </c>
      <c r="C112" s="17"/>
      <c r="D112" s="209" t="s">
        <v>145</v>
      </c>
      <c r="E112" s="210">
        <v>15</v>
      </c>
      <c r="F112" s="210">
        <v>15</v>
      </c>
      <c r="G112" s="210">
        <v>0</v>
      </c>
      <c r="H112" s="210">
        <v>0</v>
      </c>
      <c r="I112" s="210">
        <v>0</v>
      </c>
      <c r="J112" s="210">
        <v>25</v>
      </c>
      <c r="K112" s="210">
        <v>1</v>
      </c>
    </row>
    <row r="113" spans="1:11" ht="15.75">
      <c r="A113" s="253">
        <v>13</v>
      </c>
      <c r="B113" s="208" t="s">
        <v>118</v>
      </c>
      <c r="C113" s="17"/>
      <c r="D113" s="209" t="s">
        <v>145</v>
      </c>
      <c r="E113" s="210">
        <v>15</v>
      </c>
      <c r="F113" s="210">
        <v>15</v>
      </c>
      <c r="G113" s="210">
        <v>0</v>
      </c>
      <c r="H113" s="210">
        <v>0</v>
      </c>
      <c r="I113" s="210">
        <v>0</v>
      </c>
      <c r="J113" s="210">
        <v>25</v>
      </c>
      <c r="K113" s="210">
        <v>1</v>
      </c>
    </row>
    <row r="114" spans="1:11" ht="15.75">
      <c r="A114" s="253">
        <v>14</v>
      </c>
      <c r="B114" s="208" t="s">
        <v>118</v>
      </c>
      <c r="C114" s="17"/>
      <c r="D114" s="209" t="s">
        <v>146</v>
      </c>
      <c r="E114" s="210">
        <v>15</v>
      </c>
      <c r="F114" s="210">
        <v>15</v>
      </c>
      <c r="G114" s="210">
        <v>0</v>
      </c>
      <c r="H114" s="210">
        <v>0</v>
      </c>
      <c r="I114" s="210">
        <v>0</v>
      </c>
      <c r="J114" s="210">
        <v>25</v>
      </c>
      <c r="K114" s="210">
        <v>1</v>
      </c>
    </row>
    <row r="115" spans="1:11" ht="15.75">
      <c r="A115" s="253">
        <v>15</v>
      </c>
      <c r="B115" s="208" t="s">
        <v>118</v>
      </c>
      <c r="C115" s="17"/>
      <c r="D115" s="209" t="s">
        <v>146</v>
      </c>
      <c r="E115" s="210">
        <v>15</v>
      </c>
      <c r="F115" s="210">
        <v>15</v>
      </c>
      <c r="G115" s="210">
        <v>0</v>
      </c>
      <c r="H115" s="210">
        <v>0</v>
      </c>
      <c r="I115" s="210">
        <v>0</v>
      </c>
      <c r="J115" s="210">
        <v>25</v>
      </c>
      <c r="K115" s="210">
        <v>1</v>
      </c>
    </row>
    <row r="116" spans="1:11" ht="15.75">
      <c r="A116" s="253">
        <v>16</v>
      </c>
      <c r="B116" s="208" t="s">
        <v>118</v>
      </c>
      <c r="C116" s="17"/>
      <c r="D116" s="209" t="s">
        <v>147</v>
      </c>
      <c r="E116" s="210">
        <v>15</v>
      </c>
      <c r="F116" s="210">
        <v>15</v>
      </c>
      <c r="G116" s="210">
        <v>0</v>
      </c>
      <c r="H116" s="210">
        <v>0</v>
      </c>
      <c r="I116" s="210">
        <v>0</v>
      </c>
      <c r="J116" s="210">
        <v>25</v>
      </c>
      <c r="K116" s="210">
        <v>1</v>
      </c>
    </row>
    <row r="117" spans="1:11" ht="15.75">
      <c r="A117" s="253">
        <v>17</v>
      </c>
      <c r="B117" s="208" t="s">
        <v>118</v>
      </c>
      <c r="C117" s="17"/>
      <c r="D117" s="209" t="s">
        <v>147</v>
      </c>
      <c r="E117" s="210">
        <v>15</v>
      </c>
      <c r="F117" s="210">
        <v>15</v>
      </c>
      <c r="G117" s="210">
        <v>0</v>
      </c>
      <c r="H117" s="210">
        <v>0</v>
      </c>
      <c r="I117" s="210">
        <v>0</v>
      </c>
      <c r="J117" s="210">
        <v>25</v>
      </c>
      <c r="K117" s="210">
        <v>1</v>
      </c>
    </row>
    <row r="118" spans="1:11" ht="15.75">
      <c r="A118" s="253">
        <v>18</v>
      </c>
      <c r="B118" s="208" t="s">
        <v>118</v>
      </c>
      <c r="C118" s="17"/>
      <c r="D118" s="209" t="s">
        <v>144</v>
      </c>
      <c r="E118" s="210">
        <v>15</v>
      </c>
      <c r="F118" s="210">
        <v>15</v>
      </c>
      <c r="G118" s="210">
        <v>0</v>
      </c>
      <c r="H118" s="210">
        <v>0</v>
      </c>
      <c r="I118" s="210">
        <v>0</v>
      </c>
      <c r="J118" s="210">
        <v>25</v>
      </c>
      <c r="K118" s="210">
        <v>1</v>
      </c>
    </row>
    <row r="119" spans="1:11" ht="15.75">
      <c r="A119" s="253">
        <v>19</v>
      </c>
      <c r="B119" s="208" t="s">
        <v>118</v>
      </c>
      <c r="C119" s="17"/>
      <c r="D119" s="209" t="s">
        <v>144</v>
      </c>
      <c r="E119" s="210">
        <v>15</v>
      </c>
      <c r="F119" s="210">
        <v>15</v>
      </c>
      <c r="G119" s="210">
        <v>0</v>
      </c>
      <c r="H119" s="210">
        <v>0</v>
      </c>
      <c r="I119" s="210">
        <v>0</v>
      </c>
      <c r="J119" s="210">
        <v>25</v>
      </c>
      <c r="K119" s="210">
        <v>1</v>
      </c>
    </row>
    <row r="120" spans="1:11" ht="15.75">
      <c r="A120" s="253">
        <v>20</v>
      </c>
      <c r="B120" s="208" t="s">
        <v>118</v>
      </c>
      <c r="C120" s="17"/>
      <c r="D120" s="209" t="s">
        <v>144</v>
      </c>
      <c r="E120" s="210">
        <v>15</v>
      </c>
      <c r="F120" s="210">
        <v>15</v>
      </c>
      <c r="G120" s="210">
        <v>0</v>
      </c>
      <c r="H120" s="210">
        <v>0</v>
      </c>
      <c r="I120" s="210">
        <v>0</v>
      </c>
      <c r="J120" s="210">
        <v>25</v>
      </c>
      <c r="K120" s="210">
        <v>1</v>
      </c>
    </row>
    <row r="121" spans="1:11" ht="15.75">
      <c r="A121" s="253">
        <v>21</v>
      </c>
      <c r="B121" s="208" t="s">
        <v>118</v>
      </c>
      <c r="C121" s="17"/>
      <c r="D121" s="209" t="s">
        <v>129</v>
      </c>
      <c r="E121" s="210">
        <v>35</v>
      </c>
      <c r="F121" s="210">
        <v>15</v>
      </c>
      <c r="G121" s="210">
        <v>20</v>
      </c>
      <c r="H121" s="210">
        <v>0</v>
      </c>
      <c r="I121" s="210">
        <v>0</v>
      </c>
      <c r="J121" s="210">
        <v>50</v>
      </c>
      <c r="K121" s="210">
        <v>2</v>
      </c>
    </row>
    <row r="122" spans="1:11" ht="15.75">
      <c r="A122" s="253">
        <v>22</v>
      </c>
      <c r="B122" s="208" t="s">
        <v>118</v>
      </c>
      <c r="C122" s="17"/>
      <c r="D122" s="209" t="s">
        <v>129</v>
      </c>
      <c r="E122" s="210">
        <v>35</v>
      </c>
      <c r="F122" s="210">
        <v>15</v>
      </c>
      <c r="G122" s="210">
        <v>20</v>
      </c>
      <c r="H122" s="210">
        <v>0</v>
      </c>
      <c r="I122" s="210">
        <v>0</v>
      </c>
      <c r="J122" s="210">
        <v>50</v>
      </c>
      <c r="K122" s="210">
        <v>2</v>
      </c>
    </row>
    <row r="123" spans="1:11" ht="15.75">
      <c r="A123" s="253">
        <v>23</v>
      </c>
      <c r="B123" s="208" t="s">
        <v>118</v>
      </c>
      <c r="C123" s="17"/>
      <c r="D123" s="209" t="s">
        <v>129</v>
      </c>
      <c r="E123" s="210">
        <v>35</v>
      </c>
      <c r="F123" s="210">
        <v>15</v>
      </c>
      <c r="G123" s="210">
        <v>20</v>
      </c>
      <c r="H123" s="210">
        <v>0</v>
      </c>
      <c r="I123" s="210">
        <v>0</v>
      </c>
      <c r="J123" s="210">
        <v>50</v>
      </c>
      <c r="K123" s="210">
        <v>2</v>
      </c>
    </row>
    <row r="124" spans="1:11" ht="15.75">
      <c r="A124" s="253">
        <v>24</v>
      </c>
      <c r="B124" s="208" t="s">
        <v>118</v>
      </c>
      <c r="C124" s="17"/>
      <c r="D124" s="209" t="s">
        <v>129</v>
      </c>
      <c r="E124" s="210">
        <v>35</v>
      </c>
      <c r="F124" s="210">
        <v>15</v>
      </c>
      <c r="G124" s="210">
        <v>20</v>
      </c>
      <c r="H124" s="210">
        <v>0</v>
      </c>
      <c r="I124" s="210">
        <v>0</v>
      </c>
      <c r="J124" s="210">
        <v>50</v>
      </c>
      <c r="K124" s="210">
        <v>2</v>
      </c>
    </row>
    <row r="125" spans="1:11" ht="15.75">
      <c r="A125" s="253">
        <v>25</v>
      </c>
      <c r="B125" s="208" t="s">
        <v>118</v>
      </c>
      <c r="C125" s="17"/>
      <c r="D125" s="209" t="s">
        <v>129</v>
      </c>
      <c r="E125" s="210">
        <v>15</v>
      </c>
      <c r="F125" s="210">
        <v>15</v>
      </c>
      <c r="G125" s="210">
        <v>0</v>
      </c>
      <c r="H125" s="210">
        <v>0</v>
      </c>
      <c r="I125" s="210">
        <v>0</v>
      </c>
      <c r="J125" s="210">
        <v>25</v>
      </c>
      <c r="K125" s="210">
        <v>1</v>
      </c>
    </row>
    <row r="126" spans="1:11" ht="48" customHeight="1">
      <c r="A126" s="253">
        <v>26</v>
      </c>
      <c r="B126" s="711" t="s">
        <v>266</v>
      </c>
      <c r="C126" s="712"/>
      <c r="D126" s="209" t="s">
        <v>253</v>
      </c>
      <c r="E126" s="210">
        <v>135</v>
      </c>
      <c r="F126" s="210">
        <v>0</v>
      </c>
      <c r="G126" s="210">
        <v>135</v>
      </c>
      <c r="H126" s="210">
        <v>0</v>
      </c>
      <c r="I126" s="210">
        <v>0</v>
      </c>
      <c r="J126" s="210">
        <v>225</v>
      </c>
      <c r="K126" s="210">
        <v>9</v>
      </c>
    </row>
    <row r="127" spans="1:11">
      <c r="A127" s="703" t="s">
        <v>9</v>
      </c>
      <c r="B127" s="704"/>
      <c r="C127" s="704"/>
      <c r="D127" s="705"/>
      <c r="E127" s="214">
        <f t="shared" ref="E127:K127" si="14">SUM(E101:E126)</f>
        <v>590</v>
      </c>
      <c r="F127" s="214">
        <f t="shared" si="14"/>
        <v>375</v>
      </c>
      <c r="G127" s="214">
        <f t="shared" si="14"/>
        <v>215</v>
      </c>
      <c r="H127" s="214">
        <f t="shared" si="14"/>
        <v>0</v>
      </c>
      <c r="I127" s="214">
        <f t="shared" si="14"/>
        <v>0</v>
      </c>
      <c r="J127" s="214">
        <f t="shared" si="14"/>
        <v>950</v>
      </c>
      <c r="K127" s="217">
        <f t="shared" si="14"/>
        <v>38</v>
      </c>
    </row>
    <row r="128" spans="1:11" ht="26.25" customHeight="1">
      <c r="A128" s="697" t="s">
        <v>237</v>
      </c>
      <c r="B128" s="698"/>
      <c r="C128" s="698"/>
      <c r="D128" s="699"/>
      <c r="E128" s="276">
        <f t="shared" ref="E128:J128" si="15">SUM(E8,E18,E26,E33,E47,E62,E69,E79,E89,E99,E127,)</f>
        <v>5982</v>
      </c>
      <c r="F128" s="276">
        <f t="shared" si="15"/>
        <v>1600</v>
      </c>
      <c r="G128" s="276">
        <f t="shared" si="15"/>
        <v>1817</v>
      </c>
      <c r="H128" s="276">
        <f t="shared" si="15"/>
        <v>2335</v>
      </c>
      <c r="I128" s="276">
        <f t="shared" si="15"/>
        <v>230</v>
      </c>
      <c r="J128" s="276">
        <f t="shared" si="15"/>
        <v>9297</v>
      </c>
      <c r="K128" s="276">
        <f>SUM(K127,K99,K89,K79,K69,K62,K47,K33,K26,K18,K8)</f>
        <v>364</v>
      </c>
    </row>
    <row r="136" spans="3:3">
      <c r="C136" s="273" t="s">
        <v>126</v>
      </c>
    </row>
    <row r="139" spans="3:3" ht="90">
      <c r="C139" s="405" t="s">
        <v>310</v>
      </c>
    </row>
  </sheetData>
  <mergeCells count="32">
    <mergeCell ref="A48:K48"/>
    <mergeCell ref="A34:K34"/>
    <mergeCell ref="A27:K27"/>
    <mergeCell ref="A19:K19"/>
    <mergeCell ref="A100:K100"/>
    <mergeCell ref="A90:K90"/>
    <mergeCell ref="A80:K80"/>
    <mergeCell ref="A70:K70"/>
    <mergeCell ref="A63:K63"/>
    <mergeCell ref="A1:K1"/>
    <mergeCell ref="A128:D128"/>
    <mergeCell ref="A62:D62"/>
    <mergeCell ref="A69:D69"/>
    <mergeCell ref="A79:D79"/>
    <mergeCell ref="A33:D33"/>
    <mergeCell ref="A8:D8"/>
    <mergeCell ref="A127:D127"/>
    <mergeCell ref="A26:D26"/>
    <mergeCell ref="A18:D18"/>
    <mergeCell ref="A47:D47"/>
    <mergeCell ref="A89:B89"/>
    <mergeCell ref="A99:B99"/>
    <mergeCell ref="B97:C98"/>
    <mergeCell ref="B126:C126"/>
    <mergeCell ref="A97:A98"/>
    <mergeCell ref="U13:AY13"/>
    <mergeCell ref="U14:V14"/>
    <mergeCell ref="AB14:AJ14"/>
    <mergeCell ref="U15:V15"/>
    <mergeCell ref="A2:B2"/>
    <mergeCell ref="A3:B3"/>
    <mergeCell ref="A9:K9"/>
  </mergeCells>
  <pageMargins left="0.43307086614173229" right="0.23622047244094491" top="0.35433070866141736" bottom="0.35433070866141736" header="0.31496062992125984" footer="0.31496062992125984"/>
  <pageSetup paperSize="9" scale="17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0"/>
  <sheetViews>
    <sheetView view="pageBreakPreview" zoomScale="80" zoomScaleNormal="80" zoomScaleSheetLayoutView="80" workbookViewId="0">
      <pane xSplit="11" ySplit="10" topLeftCell="L11" activePane="bottomRight" state="frozen"/>
      <selection pane="topRight" activeCell="L1" sqref="L1"/>
      <selection pane="bottomLeft" activeCell="A11" sqref="A11"/>
      <selection pane="bottomRight" activeCell="D83" sqref="D83"/>
    </sheetView>
  </sheetViews>
  <sheetFormatPr defaultRowHeight="15"/>
  <cols>
    <col min="1" max="1" width="6" style="213" customWidth="1"/>
    <col min="2" max="2" width="38.85546875" style="213" customWidth="1"/>
    <col min="3" max="3" width="21.140625" style="389" customWidth="1"/>
    <col min="4" max="4" width="11.140625" style="219" customWidth="1"/>
    <col min="5" max="5" width="7.28515625" style="212" customWidth="1"/>
    <col min="6" max="6" width="8.85546875" style="212" customWidth="1"/>
    <col min="7" max="7" width="11.28515625" style="212" customWidth="1"/>
    <col min="8" max="8" width="8.42578125" style="212" customWidth="1"/>
    <col min="9" max="9" width="5.28515625" style="212" customWidth="1"/>
    <col min="10" max="10" width="9.140625" style="212" customWidth="1"/>
    <col min="11" max="11" width="6.85546875" style="212" customWidth="1"/>
    <col min="12" max="12" width="31.140625" style="213" customWidth="1"/>
    <col min="13" max="16384" width="9.140625" style="213"/>
  </cols>
  <sheetData>
    <row r="1" spans="1:51" ht="66.75" customHeight="1">
      <c r="A1" s="696" t="s">
        <v>263</v>
      </c>
      <c r="B1" s="696"/>
      <c r="C1" s="696"/>
      <c r="D1" s="696"/>
      <c r="E1" s="696"/>
      <c r="F1" s="696"/>
      <c r="G1" s="696"/>
      <c r="H1" s="696"/>
      <c r="I1" s="696"/>
      <c r="J1" s="696"/>
      <c r="K1" s="696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</row>
    <row r="2" spans="1:51" ht="30.75" customHeight="1">
      <c r="A2" s="568" t="s">
        <v>112</v>
      </c>
      <c r="B2" s="568"/>
      <c r="C2" s="267" t="s">
        <v>261</v>
      </c>
      <c r="D2" s="268"/>
      <c r="E2" s="269"/>
      <c r="F2" s="269"/>
      <c r="G2" s="269"/>
      <c r="H2" s="270"/>
      <c r="I2" s="270"/>
      <c r="J2" s="270"/>
      <c r="K2" s="270"/>
      <c r="L2" s="266"/>
      <c r="M2" s="266"/>
      <c r="N2" s="266"/>
      <c r="O2" s="266"/>
      <c r="P2" s="266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</row>
    <row r="3" spans="1:51" ht="23.25" customHeight="1">
      <c r="A3" s="692" t="s">
        <v>262</v>
      </c>
      <c r="B3" s="692"/>
      <c r="C3" s="347"/>
      <c r="D3" s="272"/>
      <c r="E3" s="272"/>
      <c r="F3" s="272"/>
      <c r="G3" s="272"/>
      <c r="H3" s="272"/>
      <c r="I3" s="272"/>
      <c r="J3" s="272"/>
      <c r="K3" s="272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</row>
    <row r="4" spans="1:51" ht="63.75" customHeight="1">
      <c r="A4" s="204" t="s">
        <v>0</v>
      </c>
      <c r="B4" s="203" t="s">
        <v>4</v>
      </c>
      <c r="C4" s="200" t="s">
        <v>1</v>
      </c>
      <c r="D4" s="220" t="s">
        <v>244</v>
      </c>
      <c r="E4" s="346" t="s">
        <v>5</v>
      </c>
      <c r="F4" s="346" t="s">
        <v>89</v>
      </c>
      <c r="G4" s="346" t="s">
        <v>88</v>
      </c>
      <c r="H4" s="346" t="s">
        <v>94</v>
      </c>
      <c r="I4" s="346" t="s">
        <v>90</v>
      </c>
      <c r="J4" s="346" t="s">
        <v>14</v>
      </c>
      <c r="K4" s="346" t="s">
        <v>6</v>
      </c>
    </row>
    <row r="5" spans="1:51" ht="15" customHeight="1">
      <c r="A5" s="275" t="s">
        <v>22</v>
      </c>
      <c r="B5" s="207"/>
      <c r="C5" s="348"/>
      <c r="D5" s="227"/>
      <c r="E5" s="228"/>
      <c r="F5" s="228"/>
      <c r="G5" s="228"/>
      <c r="H5" s="228"/>
      <c r="I5" s="229"/>
      <c r="J5" s="229"/>
      <c r="K5" s="274"/>
      <c r="L5" s="205"/>
      <c r="M5" s="205"/>
      <c r="N5" s="205"/>
      <c r="O5" s="205"/>
    </row>
    <row r="6" spans="1:51" ht="28.5" customHeight="1">
      <c r="A6" s="198">
        <v>1.1000000000000001</v>
      </c>
      <c r="B6" s="222" t="s">
        <v>18</v>
      </c>
      <c r="C6" s="196" t="str">
        <f>"0912-7LEK-B"&amp;A6&amp;"-"&amp;UPPER(LEFT(B6,1))</f>
        <v>0912-7LEK-B1.1-A</v>
      </c>
      <c r="D6" s="223" t="s">
        <v>240</v>
      </c>
      <c r="E6" s="224">
        <f>SUM(F6:I6)</f>
        <v>225</v>
      </c>
      <c r="F6" s="224">
        <f>'I rok'!Z11</f>
        <v>75</v>
      </c>
      <c r="G6" s="224">
        <f>'I rok'!AA11</f>
        <v>60</v>
      </c>
      <c r="H6" s="224">
        <f>'I rok'!AB11</f>
        <v>90</v>
      </c>
      <c r="I6" s="232">
        <f>'I rok'!AC11</f>
        <v>0</v>
      </c>
      <c r="J6" s="232">
        <f>'I rok'!AD11</f>
        <v>425</v>
      </c>
      <c r="K6" s="232">
        <f>'I rok'!AE11</f>
        <v>17</v>
      </c>
      <c r="L6" s="263"/>
      <c r="M6" s="205"/>
      <c r="N6" s="205"/>
      <c r="O6" s="205"/>
    </row>
    <row r="7" spans="1:51" ht="18.75" customHeight="1">
      <c r="A7" s="197">
        <v>1.2</v>
      </c>
      <c r="B7" s="199" t="s">
        <v>20</v>
      </c>
      <c r="C7" s="17" t="str">
        <f>"0912-7LEK-B"&amp;A7&amp;"-"&amp;UPPER(LEFT(B7,1))</f>
        <v>0912-7LEK-B1.2-H</v>
      </c>
      <c r="D7" s="209" t="s">
        <v>240</v>
      </c>
      <c r="E7" s="210">
        <f>SUM(F7:I7)</f>
        <v>105</v>
      </c>
      <c r="F7" s="210">
        <f>'I rok'!Z12</f>
        <v>35</v>
      </c>
      <c r="G7" s="210">
        <f>'I rok'!AA12</f>
        <v>35</v>
      </c>
      <c r="H7" s="210">
        <f>'I rok'!AB12</f>
        <v>35</v>
      </c>
      <c r="I7" s="233">
        <f>'I rok'!AC12</f>
        <v>0</v>
      </c>
      <c r="J7" s="233">
        <f>'I rok'!AD12</f>
        <v>250</v>
      </c>
      <c r="K7" s="233">
        <f>'I rok'!AE12</f>
        <v>10</v>
      </c>
      <c r="L7" s="205"/>
      <c r="M7" s="205"/>
      <c r="N7" s="205"/>
      <c r="O7" s="205"/>
    </row>
    <row r="8" spans="1:51">
      <c r="A8" s="700" t="s">
        <v>9</v>
      </c>
      <c r="B8" s="701"/>
      <c r="C8" s="701"/>
      <c r="D8" s="702"/>
      <c r="E8" s="221">
        <f t="shared" ref="E8:K8" si="0">SUM(E6:E7)</f>
        <v>330</v>
      </c>
      <c r="F8" s="221">
        <f t="shared" si="0"/>
        <v>110</v>
      </c>
      <c r="G8" s="221">
        <f t="shared" si="0"/>
        <v>95</v>
      </c>
      <c r="H8" s="221">
        <f t="shared" si="0"/>
        <v>125</v>
      </c>
      <c r="I8" s="221">
        <f t="shared" si="0"/>
        <v>0</v>
      </c>
      <c r="J8" s="221">
        <f t="shared" si="0"/>
        <v>675</v>
      </c>
      <c r="K8" s="221">
        <f t="shared" si="0"/>
        <v>27</v>
      </c>
      <c r="L8" s="205"/>
      <c r="M8" s="205"/>
      <c r="N8" s="205"/>
      <c r="O8" s="205"/>
    </row>
    <row r="9" spans="1:51">
      <c r="A9" s="693" t="s">
        <v>23</v>
      </c>
      <c r="B9" s="694"/>
      <c r="C9" s="694"/>
      <c r="D9" s="694"/>
      <c r="E9" s="694"/>
      <c r="F9" s="694"/>
      <c r="G9" s="694"/>
      <c r="H9" s="694"/>
      <c r="I9" s="694"/>
      <c r="J9" s="694"/>
      <c r="K9" s="695"/>
    </row>
    <row r="10" spans="1:51" ht="18.75" customHeight="1">
      <c r="A10" s="198">
        <v>2.1</v>
      </c>
      <c r="B10" s="222" t="s">
        <v>35</v>
      </c>
      <c r="C10" s="196" t="str">
        <f>"0912-7LEK-B"&amp;A10&amp;"-"&amp;UPPER(LEFT(B10,1))&amp;"f"</f>
        <v>0912-7LEK-B2.1-Bf</v>
      </c>
      <c r="D10" s="223">
        <v>4</v>
      </c>
      <c r="E10" s="224">
        <f>SUM(F10:I10)</f>
        <v>50</v>
      </c>
      <c r="F10" s="224">
        <f>'II rok'!Z11</f>
        <v>20</v>
      </c>
      <c r="G10" s="224">
        <f>'II rok'!AA11</f>
        <v>15</v>
      </c>
      <c r="H10" s="224">
        <f>'II rok'!AB11</f>
        <v>0</v>
      </c>
      <c r="I10" s="224">
        <f>'II rok'!AC11</f>
        <v>15</v>
      </c>
      <c r="J10" s="224">
        <f>'II rok'!AD11</f>
        <v>75</v>
      </c>
      <c r="K10" s="224">
        <f>'II rok'!AE11</f>
        <v>3</v>
      </c>
    </row>
    <row r="11" spans="1:51" ht="18.75" customHeight="1">
      <c r="A11" s="197">
        <v>2.2000000000000002</v>
      </c>
      <c r="B11" s="199" t="s">
        <v>36</v>
      </c>
      <c r="C11" s="17" t="str">
        <f>"0912-7LEK-B"&amp;A11&amp;"-"&amp;UPPER(LEFT(B11,1))&amp;"BK"</f>
        <v>0912-7LEK-B2.2-PBK</v>
      </c>
      <c r="D11" s="209">
        <v>2</v>
      </c>
      <c r="E11" s="224">
        <f t="shared" ref="E11:E18" si="1">SUM(F11:I11)</f>
        <v>60</v>
      </c>
      <c r="F11" s="210">
        <f>'I rok'!Z15</f>
        <v>30</v>
      </c>
      <c r="G11" s="210">
        <f>'I rok'!AA15</f>
        <v>0</v>
      </c>
      <c r="H11" s="210">
        <f>'I rok'!AB15</f>
        <v>0</v>
      </c>
      <c r="I11" s="210">
        <f>'I rok'!AC15</f>
        <v>30</v>
      </c>
      <c r="J11" s="210">
        <f>'I rok'!AD15</f>
        <v>100</v>
      </c>
      <c r="K11" s="210">
        <f>'I rok'!AE15</f>
        <v>4</v>
      </c>
    </row>
    <row r="12" spans="1:51" ht="15.75">
      <c r="A12" s="197">
        <v>2.2999999999999998</v>
      </c>
      <c r="B12" s="199" t="s">
        <v>37</v>
      </c>
      <c r="C12" s="17" t="str">
        <f>"0912-7LEK-B"&amp;A12&amp;"-"&amp;UPPER(LEFT(B12,1))</f>
        <v>0912-7LEK-B2.3-C</v>
      </c>
      <c r="D12" s="209">
        <v>1</v>
      </c>
      <c r="E12" s="224">
        <f t="shared" si="1"/>
        <v>35</v>
      </c>
      <c r="F12" s="210">
        <f>'I rok'!Z16</f>
        <v>15</v>
      </c>
      <c r="G12" s="210">
        <f>'I rok'!AA16</f>
        <v>0</v>
      </c>
      <c r="H12" s="210">
        <f>'I rok'!AB16</f>
        <v>0</v>
      </c>
      <c r="I12" s="210">
        <f>'I rok'!AC16</f>
        <v>20</v>
      </c>
      <c r="J12" s="210">
        <f>'I rok'!AD16</f>
        <v>75</v>
      </c>
      <c r="K12" s="210">
        <f>'I rok'!AE16</f>
        <v>3</v>
      </c>
    </row>
    <row r="13" spans="1:51" ht="18.75" customHeight="1">
      <c r="A13" s="197">
        <v>2.4</v>
      </c>
      <c r="B13" s="215" t="s">
        <v>38</v>
      </c>
      <c r="C13" s="17" t="str">
        <f>"0912-7LEK-B"&amp;A13&amp;"-"&amp;UPPER(LEFT(B13,1))&amp;"ch"</f>
        <v>0912-7LEK-B2.4-Bch</v>
      </c>
      <c r="D13" s="209">
        <v>3</v>
      </c>
      <c r="E13" s="224">
        <f t="shared" si="1"/>
        <v>45</v>
      </c>
      <c r="F13" s="210">
        <f>'II rok'!Z12</f>
        <v>25</v>
      </c>
      <c r="G13" s="210">
        <f>'II rok'!AA12</f>
        <v>0</v>
      </c>
      <c r="H13" s="210">
        <f>'II rok'!AB12</f>
        <v>0</v>
      </c>
      <c r="I13" s="210">
        <f>'II rok'!AC12</f>
        <v>20</v>
      </c>
      <c r="J13" s="210">
        <f>'II rok'!AD12</f>
        <v>100</v>
      </c>
      <c r="K13" s="210">
        <f>'II rok'!AE12</f>
        <v>4</v>
      </c>
      <c r="U13" s="550"/>
      <c r="V13" s="551"/>
      <c r="W13" s="551"/>
      <c r="X13" s="551"/>
      <c r="Y13" s="551"/>
      <c r="Z13" s="551"/>
      <c r="AA13" s="551"/>
      <c r="AB13" s="551"/>
      <c r="AC13" s="551"/>
      <c r="AD13" s="551"/>
      <c r="AE13" s="551"/>
      <c r="AF13" s="551"/>
      <c r="AG13" s="551"/>
      <c r="AH13" s="551"/>
      <c r="AI13" s="551"/>
      <c r="AJ13" s="551"/>
      <c r="AK13" s="551"/>
      <c r="AL13" s="551"/>
      <c r="AM13" s="551"/>
      <c r="AN13" s="551"/>
      <c r="AO13" s="551"/>
      <c r="AP13" s="551"/>
      <c r="AQ13" s="551"/>
      <c r="AR13" s="551"/>
      <c r="AS13" s="551"/>
      <c r="AT13" s="551"/>
      <c r="AU13" s="551"/>
      <c r="AV13" s="551"/>
      <c r="AW13" s="551"/>
      <c r="AX13" s="551"/>
      <c r="AY13" s="551"/>
    </row>
    <row r="14" spans="1:51" ht="18.75" customHeight="1">
      <c r="A14" s="197">
        <v>2.5</v>
      </c>
      <c r="B14" s="199" t="s">
        <v>39</v>
      </c>
      <c r="C14" s="17" t="str">
        <f>"0912-7LEK-B"&amp;A14&amp;"-"&amp;UPPER(LEFT(B14,1))&amp;"zC"</f>
        <v>0912-7LEK-B2.5-FzC</v>
      </c>
      <c r="D14" s="209" t="s">
        <v>251</v>
      </c>
      <c r="E14" s="224">
        <f t="shared" si="1"/>
        <v>150</v>
      </c>
      <c r="F14" s="210">
        <f>'II rok'!Z13</f>
        <v>50</v>
      </c>
      <c r="G14" s="210">
        <f>'II rok'!AA13</f>
        <v>60</v>
      </c>
      <c r="H14" s="210">
        <f>'II rok'!AB13</f>
        <v>0</v>
      </c>
      <c r="I14" s="210">
        <f>'II rok'!AC13</f>
        <v>40</v>
      </c>
      <c r="J14" s="210">
        <f>'II rok'!AD13</f>
        <v>350</v>
      </c>
      <c r="K14" s="210">
        <f>'II rok'!AE13</f>
        <v>14</v>
      </c>
      <c r="U14" s="568"/>
      <c r="V14" s="568"/>
      <c r="W14" s="140"/>
      <c r="X14" s="39"/>
      <c r="Y14" s="128"/>
      <c r="Z14" s="128"/>
      <c r="AA14" s="128"/>
      <c r="AB14" s="570"/>
      <c r="AC14" s="570"/>
      <c r="AD14" s="570"/>
      <c r="AE14" s="570"/>
      <c r="AF14" s="570"/>
      <c r="AG14" s="570"/>
      <c r="AH14" s="570"/>
      <c r="AI14" s="570"/>
      <c r="AJ14" s="570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</row>
    <row r="15" spans="1:51" ht="23.25">
      <c r="A15" s="197">
        <v>2.6</v>
      </c>
      <c r="B15" s="199" t="s">
        <v>40</v>
      </c>
      <c r="C15" s="17" t="str">
        <f>"0912-7LEK-B"&amp;A15&amp;"-"&amp;UPPER(LEFT(B15,1))&amp;""</f>
        <v>0912-7LEK-B2.6-P</v>
      </c>
      <c r="D15" s="209" t="s">
        <v>252</v>
      </c>
      <c r="E15" s="224">
        <f t="shared" si="1"/>
        <v>90</v>
      </c>
      <c r="F15" s="210">
        <f>'III rok'!Z11</f>
        <v>40</v>
      </c>
      <c r="G15" s="210">
        <f>'III rok'!AA11</f>
        <v>50</v>
      </c>
      <c r="H15" s="210">
        <f>'III rok'!AB11</f>
        <v>0</v>
      </c>
      <c r="I15" s="210">
        <f>'III rok'!AC11</f>
        <v>0</v>
      </c>
      <c r="J15" s="210">
        <f>'III rok'!AD11</f>
        <v>175</v>
      </c>
      <c r="K15" s="210">
        <f>'III rok'!AE11</f>
        <v>7</v>
      </c>
      <c r="U15" s="569"/>
      <c r="V15" s="569"/>
      <c r="W15" s="141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</row>
    <row r="16" spans="1:51" ht="35.25" customHeight="1">
      <c r="A16" s="197">
        <v>2.7</v>
      </c>
      <c r="B16" s="199" t="s">
        <v>93</v>
      </c>
      <c r="C16" s="17" t="str">
        <f>"0912-7LEK-B"&amp;A16&amp;"-"&amp;UPPER(LEFT(B16,1))&amp;"zI"</f>
        <v>0912-7LEK-B2.7-BzI</v>
      </c>
      <c r="D16" s="209" t="s">
        <v>240</v>
      </c>
      <c r="E16" s="224">
        <f t="shared" si="1"/>
        <v>70</v>
      </c>
      <c r="F16" s="210">
        <f>'I rok'!Z17</f>
        <v>30</v>
      </c>
      <c r="G16" s="210">
        <f>'I rok'!AA17</f>
        <v>40</v>
      </c>
      <c r="H16" s="210">
        <f>'I rok'!AB17</f>
        <v>0</v>
      </c>
      <c r="I16" s="210">
        <f>'I rok'!AC17</f>
        <v>0</v>
      </c>
      <c r="J16" s="210">
        <f>'I rok'!AD17</f>
        <v>115</v>
      </c>
      <c r="K16" s="210">
        <f>'I rok'!AE17</f>
        <v>5</v>
      </c>
    </row>
    <row r="17" spans="1:24" ht="32.25" customHeight="1">
      <c r="A17" s="197">
        <v>2.8</v>
      </c>
      <c r="B17" s="199" t="s">
        <v>91</v>
      </c>
      <c r="C17" s="17" t="str">
        <f>"0912-7LEK-B"&amp;A17&amp;"-"&amp;UPPER(LEFT(B17,1))&amp;"P"</f>
        <v>0912-7LEK-B2.8-PP</v>
      </c>
      <c r="D17" s="209">
        <v>2</v>
      </c>
      <c r="E17" s="224">
        <f t="shared" si="1"/>
        <v>35</v>
      </c>
      <c r="F17" s="210">
        <f>'I rok'!Z18</f>
        <v>0</v>
      </c>
      <c r="G17" s="210">
        <f>'I rok'!AA18</f>
        <v>15</v>
      </c>
      <c r="H17" s="210">
        <f>'I rok'!AB18</f>
        <v>20</v>
      </c>
      <c r="I17" s="210">
        <f>'I rok'!AC18</f>
        <v>0</v>
      </c>
      <c r="J17" s="210">
        <f>'I rok'!AD18</f>
        <v>50</v>
      </c>
      <c r="K17" s="210">
        <f>'I rok'!AE18</f>
        <v>2</v>
      </c>
      <c r="X17" s="448"/>
    </row>
    <row r="18" spans="1:24" ht="32.25" customHeight="1">
      <c r="A18" s="397">
        <v>2.9</v>
      </c>
      <c r="B18" s="199" t="s">
        <v>336</v>
      </c>
      <c r="C18" s="443" t="s">
        <v>337</v>
      </c>
      <c r="D18" s="344" t="s">
        <v>129</v>
      </c>
      <c r="E18" s="224">
        <f t="shared" si="1"/>
        <v>15</v>
      </c>
      <c r="F18" s="316">
        <f>'V rok'!Z11</f>
        <v>5</v>
      </c>
      <c r="G18" s="316">
        <f>'V rok'!AA11</f>
        <v>10</v>
      </c>
      <c r="H18" s="316">
        <f>'V rok'!AB11</f>
        <v>0</v>
      </c>
      <c r="I18" s="316">
        <f>'V rok'!AC11</f>
        <v>0</v>
      </c>
      <c r="J18" s="316">
        <f>'V rok'!AD11</f>
        <v>25</v>
      </c>
      <c r="K18" s="316">
        <f>'V rok'!AE11</f>
        <v>1</v>
      </c>
    </row>
    <row r="19" spans="1:24" ht="17.25" customHeight="1">
      <c r="A19" s="700" t="s">
        <v>9</v>
      </c>
      <c r="B19" s="701"/>
      <c r="C19" s="701"/>
      <c r="D19" s="702"/>
      <c r="E19" s="221">
        <f t="shared" ref="E19:K19" si="2">SUM(E10:E18)</f>
        <v>550</v>
      </c>
      <c r="F19" s="221">
        <f t="shared" si="2"/>
        <v>215</v>
      </c>
      <c r="G19" s="221">
        <f t="shared" si="2"/>
        <v>190</v>
      </c>
      <c r="H19" s="221">
        <f t="shared" si="2"/>
        <v>20</v>
      </c>
      <c r="I19" s="221">
        <f t="shared" si="2"/>
        <v>125</v>
      </c>
      <c r="J19" s="221">
        <f t="shared" si="2"/>
        <v>1065</v>
      </c>
      <c r="K19" s="221">
        <f t="shared" si="2"/>
        <v>43</v>
      </c>
    </row>
    <row r="20" spans="1:24">
      <c r="A20" s="693" t="s">
        <v>24</v>
      </c>
      <c r="B20" s="694"/>
      <c r="C20" s="694"/>
      <c r="D20" s="694"/>
      <c r="E20" s="694"/>
      <c r="F20" s="694"/>
      <c r="G20" s="694"/>
      <c r="H20" s="694"/>
      <c r="I20" s="694"/>
      <c r="J20" s="694"/>
      <c r="K20" s="695"/>
    </row>
    <row r="21" spans="1:24" ht="15.75">
      <c r="A21" s="198">
        <v>3.1</v>
      </c>
      <c r="B21" s="222" t="s">
        <v>41</v>
      </c>
      <c r="C21" s="196" t="str">
        <f t="shared" ref="C21:C26" si="3">"0912-7LEK-C"&amp;A21&amp;"-"&amp;UPPER(LEFT(B21,1))</f>
        <v>0912-7LEK-C3.1-G</v>
      </c>
      <c r="D21" s="223">
        <v>3</v>
      </c>
      <c r="E21" s="224">
        <f>SUM(F21:I21)</f>
        <v>45</v>
      </c>
      <c r="F21" s="224">
        <f>'II rok'!Z16</f>
        <v>15</v>
      </c>
      <c r="G21" s="224">
        <f>'II rok'!AA16</f>
        <v>30</v>
      </c>
      <c r="H21" s="224">
        <f>'II rok'!AB16</f>
        <v>0</v>
      </c>
      <c r="I21" s="224">
        <f>'II rok'!AC16</f>
        <v>0</v>
      </c>
      <c r="J21" s="224">
        <f>'II rok'!AD16</f>
        <v>100</v>
      </c>
      <c r="K21" s="224">
        <f>'II rok'!AE16</f>
        <v>4</v>
      </c>
    </row>
    <row r="22" spans="1:24" ht="15.75">
      <c r="A22" s="197">
        <v>3.2</v>
      </c>
      <c r="B22" s="199" t="s">
        <v>42</v>
      </c>
      <c r="C22" s="17" t="str">
        <f t="shared" si="3"/>
        <v>0912-7LEK-C3.2-M</v>
      </c>
      <c r="D22" s="209" t="s">
        <v>251</v>
      </c>
      <c r="E22" s="224">
        <f t="shared" ref="E22:E27" si="4">SUM(F22:I22)</f>
        <v>100</v>
      </c>
      <c r="F22" s="224">
        <f>'II rok'!Z17</f>
        <v>20</v>
      </c>
      <c r="G22" s="224">
        <f>'II rok'!AA17</f>
        <v>40</v>
      </c>
      <c r="H22" s="224">
        <f>'II rok'!AB17</f>
        <v>0</v>
      </c>
      <c r="I22" s="224">
        <f>'II rok'!AC17</f>
        <v>40</v>
      </c>
      <c r="J22" s="224">
        <f>'II rok'!AD17</f>
        <v>200</v>
      </c>
      <c r="K22" s="224">
        <f>'II rok'!AE17</f>
        <v>8</v>
      </c>
    </row>
    <row r="23" spans="1:24" ht="15.75">
      <c r="A23" s="197">
        <v>3.3</v>
      </c>
      <c r="B23" s="199" t="s">
        <v>43</v>
      </c>
      <c r="C23" s="17" t="str">
        <f t="shared" si="3"/>
        <v>0912-7LEK-C3.3-P</v>
      </c>
      <c r="D23" s="209">
        <v>4</v>
      </c>
      <c r="E23" s="224">
        <f t="shared" si="4"/>
        <v>45</v>
      </c>
      <c r="F23" s="224">
        <f>'II rok'!Z18</f>
        <v>15</v>
      </c>
      <c r="G23" s="224">
        <f>'II rok'!AA18</f>
        <v>15</v>
      </c>
      <c r="H23" s="224">
        <f>'II rok'!AB18</f>
        <v>0</v>
      </c>
      <c r="I23" s="224">
        <f>'II rok'!AC18</f>
        <v>15</v>
      </c>
      <c r="J23" s="224">
        <f>'II rok'!AD18</f>
        <v>75</v>
      </c>
      <c r="K23" s="224">
        <f>'II rok'!AE18</f>
        <v>3</v>
      </c>
    </row>
    <row r="24" spans="1:24" ht="15.75">
      <c r="A24" s="197">
        <v>3.4</v>
      </c>
      <c r="B24" s="199" t="s">
        <v>44</v>
      </c>
      <c r="C24" s="17" t="str">
        <f t="shared" si="3"/>
        <v>0912-7LEK-C3.4-I</v>
      </c>
      <c r="D24" s="209" t="s">
        <v>243</v>
      </c>
      <c r="E24" s="224">
        <f t="shared" si="4"/>
        <v>45</v>
      </c>
      <c r="F24" s="224">
        <f>'II rok'!Z19</f>
        <v>15</v>
      </c>
      <c r="G24" s="224">
        <f>'II rok'!AA19</f>
        <v>10</v>
      </c>
      <c r="H24" s="224">
        <f>'II rok'!AB19</f>
        <v>0</v>
      </c>
      <c r="I24" s="224">
        <f>'II rok'!AC19</f>
        <v>20</v>
      </c>
      <c r="J24" s="224">
        <f>'II rok'!AD19</f>
        <v>75</v>
      </c>
      <c r="K24" s="224">
        <f>'II rok'!AE19</f>
        <v>3</v>
      </c>
    </row>
    <row r="25" spans="1:24" ht="15.75">
      <c r="A25" s="197">
        <v>3.5</v>
      </c>
      <c r="B25" s="199" t="s">
        <v>45</v>
      </c>
      <c r="C25" s="17" t="str">
        <f t="shared" si="3"/>
        <v>0912-7LEK-C3.5-P</v>
      </c>
      <c r="D25" s="209" t="s">
        <v>252</v>
      </c>
      <c r="E25" s="224">
        <f t="shared" si="4"/>
        <v>150</v>
      </c>
      <c r="F25" s="210">
        <f>'III rok'!Z14</f>
        <v>50</v>
      </c>
      <c r="G25" s="210">
        <f>'III rok'!AA14</f>
        <v>100</v>
      </c>
      <c r="H25" s="210">
        <f>'III rok'!AB14</f>
        <v>0</v>
      </c>
      <c r="I25" s="210">
        <f>'III rok'!AC14</f>
        <v>0</v>
      </c>
      <c r="J25" s="436">
        <f>'III rok'!AD14</f>
        <v>325</v>
      </c>
      <c r="K25" s="210">
        <f>'III rok'!AE14</f>
        <v>13</v>
      </c>
    </row>
    <row r="26" spans="1:24" ht="15.75">
      <c r="A26" s="197">
        <v>3.6</v>
      </c>
      <c r="B26" s="199" t="s">
        <v>46</v>
      </c>
      <c r="C26" s="17" t="str">
        <f t="shared" si="3"/>
        <v>0912-7LEK-C3.6-F</v>
      </c>
      <c r="D26" s="209" t="s">
        <v>252</v>
      </c>
      <c r="E26" s="224">
        <f t="shared" si="4"/>
        <v>140</v>
      </c>
      <c r="F26" s="210">
        <f>'III rok'!Z15</f>
        <v>50</v>
      </c>
      <c r="G26" s="210">
        <f>'III rok'!AA15</f>
        <v>90</v>
      </c>
      <c r="H26" s="210">
        <f>'III rok'!AB15</f>
        <v>0</v>
      </c>
      <c r="I26" s="210">
        <f>'III rok'!AC15</f>
        <v>0</v>
      </c>
      <c r="J26" s="436">
        <f>'III rok'!AD15</f>
        <v>300</v>
      </c>
      <c r="K26" s="210">
        <f>'III rok'!AE15</f>
        <v>12</v>
      </c>
    </row>
    <row r="27" spans="1:24" ht="15.75">
      <c r="A27" s="197">
        <v>3.7</v>
      </c>
      <c r="B27" s="434" t="s">
        <v>130</v>
      </c>
      <c r="C27" s="440" t="s">
        <v>317</v>
      </c>
      <c r="D27" s="209" t="s">
        <v>143</v>
      </c>
      <c r="E27" s="224">
        <f t="shared" si="4"/>
        <v>15</v>
      </c>
      <c r="F27" s="210">
        <f>'II rok'!Z20</f>
        <v>15</v>
      </c>
      <c r="G27" s="210">
        <f>'II rok'!AA20</f>
        <v>0</v>
      </c>
      <c r="H27" s="210">
        <f>'II rok'!AB20</f>
        <v>0</v>
      </c>
      <c r="I27" s="210">
        <f>'II rok'!AC20</f>
        <v>0</v>
      </c>
      <c r="J27" s="210">
        <f>'II rok'!AD20</f>
        <v>25</v>
      </c>
      <c r="K27" s="210">
        <f>'II rok'!AE20</f>
        <v>1</v>
      </c>
    </row>
    <row r="28" spans="1:24">
      <c r="A28" s="700" t="s">
        <v>9</v>
      </c>
      <c r="B28" s="701"/>
      <c r="C28" s="701"/>
      <c r="D28" s="702"/>
      <c r="E28" s="221">
        <f t="shared" ref="E28:K28" si="5">SUM(E21:E27)</f>
        <v>540</v>
      </c>
      <c r="F28" s="221">
        <f t="shared" si="5"/>
        <v>180</v>
      </c>
      <c r="G28" s="221">
        <f t="shared" si="5"/>
        <v>285</v>
      </c>
      <c r="H28" s="221">
        <f t="shared" si="5"/>
        <v>0</v>
      </c>
      <c r="I28" s="221">
        <f t="shared" si="5"/>
        <v>75</v>
      </c>
      <c r="J28" s="221">
        <f t="shared" si="5"/>
        <v>1100</v>
      </c>
      <c r="K28" s="221">
        <f t="shared" si="5"/>
        <v>44</v>
      </c>
    </row>
    <row r="29" spans="1:24">
      <c r="A29" s="693" t="s">
        <v>34</v>
      </c>
      <c r="B29" s="694"/>
      <c r="C29" s="694"/>
      <c r="D29" s="694"/>
      <c r="E29" s="694"/>
      <c r="F29" s="694"/>
      <c r="G29" s="694"/>
      <c r="H29" s="694"/>
      <c r="I29" s="694"/>
      <c r="J29" s="694"/>
      <c r="K29" s="695"/>
    </row>
    <row r="30" spans="1:24" ht="15.75">
      <c r="A30" s="349">
        <v>4.0999999999999996</v>
      </c>
      <c r="B30" s="222" t="s">
        <v>47</v>
      </c>
      <c r="C30" s="196" t="str">
        <f>"0912-7LEK-B"&amp;A30&amp;"-"&amp;UPPER(LEFT(B30,1))</f>
        <v>0912-7LEK-B4.1-S</v>
      </c>
      <c r="D30" s="223">
        <v>2</v>
      </c>
      <c r="E30" s="224">
        <f>SUM(F30:I30)</f>
        <v>15</v>
      </c>
      <c r="F30" s="224">
        <f>'I rok'!Z21</f>
        <v>15</v>
      </c>
      <c r="G30" s="224">
        <f>'I rok'!AA21</f>
        <v>0</v>
      </c>
      <c r="H30" s="224">
        <f>'I rok'!AB21</f>
        <v>0</v>
      </c>
      <c r="I30" s="224">
        <f>'I rok'!AC21</f>
        <v>0</v>
      </c>
      <c r="J30" s="224">
        <f>'I rok'!AD21</f>
        <v>25</v>
      </c>
      <c r="K30" s="224">
        <f>'I rok'!AE21</f>
        <v>1</v>
      </c>
    </row>
    <row r="31" spans="1:24" ht="15.75">
      <c r="A31" s="197">
        <v>4.2</v>
      </c>
      <c r="B31" s="199" t="s">
        <v>48</v>
      </c>
      <c r="C31" s="17" t="str">
        <f>"0912-7LEK-B"&amp;A31&amp;"-"&amp;UPPER(LEFT(B31,1))</f>
        <v>0912-7LEK-B4.2-P</v>
      </c>
      <c r="D31" s="209">
        <v>2</v>
      </c>
      <c r="E31" s="224">
        <f t="shared" ref="E31:E36" si="6">SUM(F31:I31)</f>
        <v>15</v>
      </c>
      <c r="F31" s="224">
        <f>'I rok'!Z22</f>
        <v>15</v>
      </c>
      <c r="G31" s="224">
        <f>'I rok'!AA22</f>
        <v>0</v>
      </c>
      <c r="H31" s="224">
        <f>'I rok'!AB22</f>
        <v>0</v>
      </c>
      <c r="I31" s="224">
        <f>'I rok'!AC22</f>
        <v>0</v>
      </c>
      <c r="J31" s="224">
        <f>'I rok'!AD22</f>
        <v>25</v>
      </c>
      <c r="K31" s="224">
        <f>'I rok'!AE22</f>
        <v>1</v>
      </c>
    </row>
    <row r="32" spans="1:24" ht="15.75">
      <c r="A32" s="6">
        <v>4.3</v>
      </c>
      <c r="B32" s="199" t="s">
        <v>49</v>
      </c>
      <c r="C32" s="17" t="str">
        <f>"0912-7LEK-B"&amp;A32&amp;"-"&amp;UPPER(LEFT(B32,1))</f>
        <v>0912-7LEK-B4.3-E</v>
      </c>
      <c r="D32" s="209">
        <v>1</v>
      </c>
      <c r="E32" s="224">
        <f t="shared" si="6"/>
        <v>15</v>
      </c>
      <c r="F32" s="224">
        <f>'I rok'!Z23</f>
        <v>15</v>
      </c>
      <c r="G32" s="224">
        <f>'I rok'!AA23</f>
        <v>0</v>
      </c>
      <c r="H32" s="224">
        <f>'I rok'!AB23</f>
        <v>0</v>
      </c>
      <c r="I32" s="224">
        <f>'I rok'!AC23</f>
        <v>0</v>
      </c>
      <c r="J32" s="224">
        <f>'I rok'!AD23</f>
        <v>25</v>
      </c>
      <c r="K32" s="224">
        <f>'I rok'!AE23</f>
        <v>1</v>
      </c>
    </row>
    <row r="33" spans="1:11" ht="15.75">
      <c r="A33" s="197">
        <v>4.4000000000000004</v>
      </c>
      <c r="B33" s="199" t="s">
        <v>92</v>
      </c>
      <c r="C33" s="17" t="str">
        <f>"0912-7LEK-B"&amp;A33&amp;"-"&amp;UPPER(LEFT(B33,1))</f>
        <v>0912-7LEK-B4.4-E</v>
      </c>
      <c r="D33" s="209">
        <v>1</v>
      </c>
      <c r="E33" s="224">
        <f t="shared" si="6"/>
        <v>15</v>
      </c>
      <c r="F33" s="224">
        <f>'I rok'!Z24</f>
        <v>15</v>
      </c>
      <c r="G33" s="224">
        <f>'I rok'!AA24</f>
        <v>0</v>
      </c>
      <c r="H33" s="224">
        <f>'I rok'!AB24</f>
        <v>0</v>
      </c>
      <c r="I33" s="224">
        <f>'I rok'!AC24</f>
        <v>0</v>
      </c>
      <c r="J33" s="224">
        <f>'I rok'!AD24</f>
        <v>25</v>
      </c>
      <c r="K33" s="224">
        <f>'I rok'!AE24</f>
        <v>1</v>
      </c>
    </row>
    <row r="34" spans="1:11" ht="15.75">
      <c r="A34" s="349">
        <v>4.5</v>
      </c>
      <c r="B34" s="199" t="s">
        <v>50</v>
      </c>
      <c r="C34" s="17" t="str">
        <f>"0912-7LEK-B"&amp;A34&amp;"-"&amp;UPPER(LEFT(B34,1))</f>
        <v>0912-7LEK-B4.5-H</v>
      </c>
      <c r="D34" s="209" t="s">
        <v>241</v>
      </c>
      <c r="E34" s="224">
        <f t="shared" si="6"/>
        <v>30</v>
      </c>
      <c r="F34" s="224">
        <f>'I rok'!Z25</f>
        <v>30</v>
      </c>
      <c r="G34" s="224">
        <f>'I rok'!AA25</f>
        <v>0</v>
      </c>
      <c r="H34" s="224">
        <f>'I rok'!AB25</f>
        <v>0</v>
      </c>
      <c r="I34" s="224">
        <f>'I rok'!AC25</f>
        <v>0</v>
      </c>
      <c r="J34" s="224">
        <f>'I rok'!AD25</f>
        <v>30</v>
      </c>
      <c r="K34" s="224">
        <f>'I rok'!AE25</f>
        <v>1</v>
      </c>
    </row>
    <row r="35" spans="1:11" ht="15.75">
      <c r="A35" s="6">
        <v>4.5999999999999996</v>
      </c>
      <c r="B35" s="437" t="s">
        <v>17</v>
      </c>
      <c r="C35" s="17" t="str">
        <f>"0912-7LEK-A"&amp;A35&amp;"-"&amp;UPPER(LEFT(B35,1))&amp;"A"</f>
        <v>0912-7LEK-A4.6-JA</v>
      </c>
      <c r="D35" s="209" t="s">
        <v>239</v>
      </c>
      <c r="E35" s="224">
        <f t="shared" si="6"/>
        <v>120</v>
      </c>
      <c r="F35" s="210">
        <v>0</v>
      </c>
      <c r="G35" s="210">
        <f>'I rok'!AA26+'II rok'!AA23</f>
        <v>120</v>
      </c>
      <c r="H35" s="224">
        <f>'I rok'!AB26</f>
        <v>0</v>
      </c>
      <c r="I35" s="210">
        <v>0</v>
      </c>
      <c r="J35" s="210">
        <f>'I rok'!AD26+'II rok'!AD23</f>
        <v>180</v>
      </c>
      <c r="K35" s="210">
        <f>'I rok'!AE26+'II rok'!AE23</f>
        <v>6</v>
      </c>
    </row>
    <row r="36" spans="1:11" ht="39.75" customHeight="1">
      <c r="A36" s="6">
        <v>4.7</v>
      </c>
      <c r="B36" s="199" t="s">
        <v>335</v>
      </c>
      <c r="C36" s="441" t="s">
        <v>333</v>
      </c>
      <c r="D36" s="209" t="s">
        <v>143</v>
      </c>
      <c r="E36" s="224">
        <f t="shared" si="6"/>
        <v>30</v>
      </c>
      <c r="F36" s="210">
        <f>'II rok'!Z24</f>
        <v>20</v>
      </c>
      <c r="G36" s="210">
        <f>'II rok'!AA24</f>
        <v>10</v>
      </c>
      <c r="H36" s="210">
        <f>'II rok'!AB24</f>
        <v>0</v>
      </c>
      <c r="I36" s="210">
        <f>'II rok'!AC24</f>
        <v>0</v>
      </c>
      <c r="J36" s="210">
        <f>'II rok'!AD24</f>
        <v>50</v>
      </c>
      <c r="K36" s="210">
        <f>'II rok'!AE24</f>
        <v>2</v>
      </c>
    </row>
    <row r="37" spans="1:11">
      <c r="A37" s="700" t="s">
        <v>9</v>
      </c>
      <c r="B37" s="701"/>
      <c r="C37" s="701"/>
      <c r="D37" s="702"/>
      <c r="E37" s="221">
        <f t="shared" ref="E37:K37" si="7">SUM(E30:E36)</f>
        <v>240</v>
      </c>
      <c r="F37" s="221">
        <f t="shared" si="7"/>
        <v>110</v>
      </c>
      <c r="G37" s="221">
        <f t="shared" si="7"/>
        <v>130</v>
      </c>
      <c r="H37" s="221">
        <f t="shared" si="7"/>
        <v>0</v>
      </c>
      <c r="I37" s="221">
        <f t="shared" si="7"/>
        <v>0</v>
      </c>
      <c r="J37" s="221">
        <f t="shared" si="7"/>
        <v>360</v>
      </c>
      <c r="K37" s="221">
        <f t="shared" si="7"/>
        <v>13</v>
      </c>
    </row>
    <row r="38" spans="1:11">
      <c r="A38" s="693" t="s">
        <v>25</v>
      </c>
      <c r="B38" s="694"/>
      <c r="C38" s="694"/>
      <c r="D38" s="694"/>
      <c r="E38" s="694"/>
      <c r="F38" s="694"/>
      <c r="G38" s="694"/>
      <c r="H38" s="694"/>
      <c r="I38" s="694"/>
      <c r="J38" s="694"/>
      <c r="K38" s="695"/>
    </row>
    <row r="39" spans="1:11" ht="15.75">
      <c r="A39" s="349">
        <v>5.0999999999999996</v>
      </c>
      <c r="B39" s="438" t="s">
        <v>51</v>
      </c>
      <c r="C39" s="196" t="str">
        <f>"0912-7LEK-C"&amp;A39&amp;"-"&amp;UPPER(LEFT(B39,1))</f>
        <v>0912-7LEK-C5.1-P</v>
      </c>
      <c r="D39" s="457" t="s">
        <v>359</v>
      </c>
      <c r="E39" s="224">
        <f>SUM(F39:I39)</f>
        <v>265</v>
      </c>
      <c r="F39" s="224">
        <f>'III rok'!Z18+'IV rok'!Z11+'V rok'!Z14</f>
        <v>75</v>
      </c>
      <c r="G39" s="224">
        <f>'III rok'!AA18+'IV rok'!AA11+'V rok'!AA14</f>
        <v>75</v>
      </c>
      <c r="H39" s="224">
        <f>'III rok'!AB18+'IV rok'!AB11+'V rok'!AB14</f>
        <v>115</v>
      </c>
      <c r="I39" s="224">
        <f>'III rok'!AC18+'IV rok'!AC11+'V rok'!AC14</f>
        <v>0</v>
      </c>
      <c r="J39" s="224">
        <f>'III rok'!AD18+'IV rok'!AD11+'V rok'!AD14</f>
        <v>400</v>
      </c>
      <c r="K39" s="224">
        <f>'III rok'!AE18+'IV rok'!AE11+'V rok'!AE14</f>
        <v>16</v>
      </c>
    </row>
    <row r="40" spans="1:11" ht="15.75">
      <c r="A40" s="455">
        <v>5.2</v>
      </c>
      <c r="B40" s="434" t="s">
        <v>80</v>
      </c>
      <c r="C40" s="456" t="str">
        <f>"0912-7LEK-C"&amp;A40&amp;"-"&amp;UPPER(LEFT(B40,1))&amp;"W"</f>
        <v>0912-7LEK-C5.2-CW</v>
      </c>
      <c r="D40" s="457" t="s">
        <v>354</v>
      </c>
      <c r="E40" s="224">
        <f>SUM(F40:I40)</f>
        <v>180</v>
      </c>
      <c r="F40" s="224">
        <f>'III rok'!Z19+'IV rok'!Z12+'V rok'!Z15</f>
        <v>60</v>
      </c>
      <c r="G40" s="224">
        <f>'III rok'!AA19+'IV rok'!AA12+'V rok'!AA15</f>
        <v>50</v>
      </c>
      <c r="H40" s="224">
        <f>'III rok'!AB19+'IV rok'!AB12+'V rok'!AB15</f>
        <v>70</v>
      </c>
      <c r="I40" s="224">
        <f>'III rok'!AC19+'IV rok'!AC12+'V rok'!AC15</f>
        <v>0</v>
      </c>
      <c r="J40" s="224">
        <f>'III rok'!AD19+'IV rok'!AD12+'V rok'!AD15</f>
        <v>250</v>
      </c>
      <c r="K40" s="224">
        <f>'III rok'!AE19+'IV rok'!AE12+'V rok'!AE15</f>
        <v>10</v>
      </c>
    </row>
    <row r="41" spans="1:11" ht="31.5">
      <c r="A41" s="455" t="s">
        <v>342</v>
      </c>
      <c r="B41" s="434" t="s">
        <v>341</v>
      </c>
      <c r="C41" s="456" t="str">
        <f>"0912-7LEK-C"&amp;A41&amp;"-"&amp;UPPER(LEFT(B41,1))&amp;"W"</f>
        <v>0912-7LEK-C5.2a-CW</v>
      </c>
      <c r="D41" s="457" t="s">
        <v>145</v>
      </c>
      <c r="E41" s="224">
        <f t="shared" ref="E41:E51" si="8">SUM(F41:I41)</f>
        <v>55</v>
      </c>
      <c r="F41" s="224">
        <f>'III rok'!Z20</f>
        <v>15</v>
      </c>
      <c r="G41" s="224">
        <f>'III rok'!AA20</f>
        <v>15</v>
      </c>
      <c r="H41" s="224">
        <f>'III rok'!AB20</f>
        <v>25</v>
      </c>
      <c r="I41" s="224">
        <f>'III rok'!AC20</f>
        <v>0</v>
      </c>
      <c r="J41" s="224">
        <f>'III rok'!AD20</f>
        <v>75</v>
      </c>
      <c r="K41" s="224">
        <f>'III rok'!AE20</f>
        <v>3</v>
      </c>
    </row>
    <row r="42" spans="1:11" ht="15.75">
      <c r="A42" s="6">
        <v>5.3</v>
      </c>
      <c r="B42" s="434" t="s">
        <v>52</v>
      </c>
      <c r="C42" s="17" t="str">
        <f t="shared" ref="C42:C49" si="9">"0912-7LEK-C"&amp;A42&amp;"-"&amp;UPPER(LEFT(B42,1))</f>
        <v>0912-7LEK-C5.3-G</v>
      </c>
      <c r="D42" s="209">
        <v>10</v>
      </c>
      <c r="E42" s="224">
        <f t="shared" si="8"/>
        <v>50</v>
      </c>
      <c r="F42" s="210">
        <f>'V rok'!Z16</f>
        <v>15</v>
      </c>
      <c r="G42" s="210">
        <f>'V rok'!AA16</f>
        <v>20</v>
      </c>
      <c r="H42" s="210">
        <f>'V rok'!AB16</f>
        <v>15</v>
      </c>
      <c r="I42" s="210">
        <f>'V rok'!AC16</f>
        <v>0</v>
      </c>
      <c r="J42" s="210">
        <f>'V rok'!AD16</f>
        <v>75</v>
      </c>
      <c r="K42" s="210">
        <f>'V rok'!AE16</f>
        <v>3</v>
      </c>
    </row>
    <row r="43" spans="1:11" ht="15.75">
      <c r="A43" s="6">
        <v>5.4</v>
      </c>
      <c r="B43" s="434" t="s">
        <v>53</v>
      </c>
      <c r="C43" s="17" t="str">
        <f t="shared" si="9"/>
        <v>0912-7LEK-C5.4-N</v>
      </c>
      <c r="D43" s="209">
        <v>7</v>
      </c>
      <c r="E43" s="224">
        <f t="shared" si="8"/>
        <v>60</v>
      </c>
      <c r="F43" s="210">
        <f>'IV rok'!Z13</f>
        <v>15</v>
      </c>
      <c r="G43" s="210">
        <f>'IV rok'!AA13</f>
        <v>15</v>
      </c>
      <c r="H43" s="210">
        <f>'IV rok'!AB13</f>
        <v>30</v>
      </c>
      <c r="I43" s="210">
        <f>'IV rok'!AC13</f>
        <v>0</v>
      </c>
      <c r="J43" s="210">
        <f>'IV rok'!AD13</f>
        <v>100</v>
      </c>
      <c r="K43" s="210">
        <f>'IV rok'!AE13</f>
        <v>4</v>
      </c>
    </row>
    <row r="44" spans="1:11" ht="15.75">
      <c r="A44" s="6">
        <v>5.5</v>
      </c>
      <c r="B44" s="434" t="s">
        <v>54</v>
      </c>
      <c r="C44" s="17" t="str">
        <f t="shared" si="9"/>
        <v>0912-7LEK-C5.5-P</v>
      </c>
      <c r="D44" s="209">
        <v>8</v>
      </c>
      <c r="E44" s="224">
        <f t="shared" si="8"/>
        <v>65</v>
      </c>
      <c r="F44" s="210">
        <f>'IV rok'!Z14</f>
        <v>20</v>
      </c>
      <c r="G44" s="210">
        <f>'IV rok'!AA14</f>
        <v>20</v>
      </c>
      <c r="H44" s="210">
        <f>'IV rok'!AB14</f>
        <v>25</v>
      </c>
      <c r="I44" s="210">
        <f>'IV rok'!AC14</f>
        <v>0</v>
      </c>
      <c r="J44" s="210">
        <f>'IV rok'!AD14</f>
        <v>100</v>
      </c>
      <c r="K44" s="210">
        <f>'IV rok'!AE14</f>
        <v>4</v>
      </c>
    </row>
    <row r="45" spans="1:11" ht="15.75">
      <c r="A45" s="6">
        <v>5.6</v>
      </c>
      <c r="B45" s="434" t="s">
        <v>55</v>
      </c>
      <c r="C45" s="17" t="str">
        <f t="shared" si="9"/>
        <v>0912-7LEK-C5.6-O</v>
      </c>
      <c r="D45" s="209">
        <v>7</v>
      </c>
      <c r="E45" s="224">
        <f t="shared" si="8"/>
        <v>55</v>
      </c>
      <c r="F45" s="210">
        <f>'IV rok'!Z15</f>
        <v>15</v>
      </c>
      <c r="G45" s="210">
        <f>'IV rok'!AA15</f>
        <v>15</v>
      </c>
      <c r="H45" s="210">
        <f>'IV rok'!AB15</f>
        <v>25</v>
      </c>
      <c r="I45" s="210">
        <f>'IV rok'!AC15</f>
        <v>0</v>
      </c>
      <c r="J45" s="210">
        <f>'IV rok'!AD15</f>
        <v>100</v>
      </c>
      <c r="K45" s="210">
        <f>'IV rok'!AE15</f>
        <v>4</v>
      </c>
    </row>
    <row r="46" spans="1:11" ht="15.75">
      <c r="A46" s="6">
        <v>5.7</v>
      </c>
      <c r="B46" s="434" t="s">
        <v>56</v>
      </c>
      <c r="C46" s="17" t="str">
        <f>"0912-7LEK-C"&amp;A46&amp;"-"&amp;UPPER(LEFT(B46,1))&amp;"R"</f>
        <v>0912-7LEK-C5.7-MR</v>
      </c>
      <c r="D46" s="209">
        <v>9</v>
      </c>
      <c r="E46" s="224">
        <f t="shared" si="8"/>
        <v>55</v>
      </c>
      <c r="F46" s="210">
        <f>'V rok'!Z17</f>
        <v>15</v>
      </c>
      <c r="G46" s="210">
        <f>'V rok'!AA17</f>
        <v>25</v>
      </c>
      <c r="H46" s="210">
        <f>'V rok'!AB17</f>
        <v>15</v>
      </c>
      <c r="I46" s="210">
        <f>'V rok'!AC17</f>
        <v>0</v>
      </c>
      <c r="J46" s="210">
        <f>'V rok'!AD17</f>
        <v>100</v>
      </c>
      <c r="K46" s="210">
        <f>'V rok'!AE17</f>
        <v>4</v>
      </c>
    </row>
    <row r="47" spans="1:11" ht="15.75">
      <c r="A47" s="6">
        <v>5.8</v>
      </c>
      <c r="B47" s="434" t="s">
        <v>57</v>
      </c>
      <c r="C47" s="17" t="str">
        <f>"0912-7LEK-C"&amp;A47&amp;"-"&amp;UPPER(LEFT(B47,1))&amp;"iW"</f>
        <v>0912-7LEK-C5.8-DiW</v>
      </c>
      <c r="D47" s="209">
        <v>6</v>
      </c>
      <c r="E47" s="224">
        <f t="shared" si="8"/>
        <v>55</v>
      </c>
      <c r="F47" s="210">
        <f>'III rok'!Z21</f>
        <v>15</v>
      </c>
      <c r="G47" s="210">
        <f>'III rok'!AA21</f>
        <v>15</v>
      </c>
      <c r="H47" s="210">
        <f>'III rok'!AB21</f>
        <v>25</v>
      </c>
      <c r="I47" s="210">
        <f>'III rok'!AC21</f>
        <v>0</v>
      </c>
      <c r="J47" s="210">
        <f>'III rok'!AD21</f>
        <v>75</v>
      </c>
      <c r="K47" s="210">
        <f>'III rok'!AE21</f>
        <v>3</v>
      </c>
    </row>
    <row r="48" spans="1:11" ht="15.75">
      <c r="A48" s="6">
        <v>5.9</v>
      </c>
      <c r="B48" s="199" t="s">
        <v>58</v>
      </c>
      <c r="C48" s="17" t="str">
        <f>"0912-7LEK-C"&amp;A48&amp;"-"&amp;UPPER(LEFT(B48,1))&amp;"Z"</f>
        <v>0912-7LEK-C5.9-CZ</v>
      </c>
      <c r="D48" s="209" t="s">
        <v>147</v>
      </c>
      <c r="E48" s="224">
        <f t="shared" si="8"/>
        <v>50</v>
      </c>
      <c r="F48" s="210">
        <f>'IV rok'!Z16</f>
        <v>20</v>
      </c>
      <c r="G48" s="210">
        <f>'IV rok'!AA16</f>
        <v>15</v>
      </c>
      <c r="H48" s="210">
        <f>'IV rok'!AB16</f>
        <v>15</v>
      </c>
      <c r="I48" s="210">
        <f>'IV rok'!AC16</f>
        <v>0</v>
      </c>
      <c r="J48" s="210">
        <f>'IV rok'!AD16</f>
        <v>75</v>
      </c>
      <c r="K48" s="210">
        <f>'IV rok'!AE16</f>
        <v>3</v>
      </c>
    </row>
    <row r="49" spans="1:11" ht="15.75">
      <c r="A49" s="201">
        <v>5.0999999999999996</v>
      </c>
      <c r="B49" s="199" t="s">
        <v>59</v>
      </c>
      <c r="C49" s="17" t="str">
        <f t="shared" si="9"/>
        <v>0912-7LEK-C5.1-R</v>
      </c>
      <c r="D49" s="209">
        <v>7</v>
      </c>
      <c r="E49" s="224">
        <f t="shared" si="8"/>
        <v>50</v>
      </c>
      <c r="F49" s="210">
        <f>'IV rok'!Z17</f>
        <v>15</v>
      </c>
      <c r="G49" s="210">
        <f>'IV rok'!AA17</f>
        <v>15</v>
      </c>
      <c r="H49" s="210">
        <f>'IV rok'!AB17</f>
        <v>20</v>
      </c>
      <c r="I49" s="210">
        <f>'IV rok'!AC17</f>
        <v>0</v>
      </c>
      <c r="J49" s="210">
        <f>'IV rok'!AD17</f>
        <v>75</v>
      </c>
      <c r="K49" s="210">
        <f>'IV rok'!AE17</f>
        <v>3</v>
      </c>
    </row>
    <row r="50" spans="1:11" ht="15.75">
      <c r="A50" s="201">
        <v>5.1100000000000003</v>
      </c>
      <c r="B50" s="199" t="s">
        <v>60</v>
      </c>
      <c r="C50" s="17" t="str">
        <f>"0912-7LEK-C"&amp;A50&amp;"-"&amp;UPPER(LEFT(B50,1))&amp;"L"</f>
        <v>0912-7LEK-C5.11-DL</v>
      </c>
      <c r="D50" s="209" t="s">
        <v>145</v>
      </c>
      <c r="E50" s="224">
        <f t="shared" si="8"/>
        <v>55</v>
      </c>
      <c r="F50" s="210">
        <f>'III rok'!Z22</f>
        <v>15</v>
      </c>
      <c r="G50" s="210">
        <f>'III rok'!AA22</f>
        <v>40</v>
      </c>
      <c r="H50" s="210">
        <f>'III rok'!AB22</f>
        <v>0</v>
      </c>
      <c r="I50" s="210">
        <f>'III rok'!AC22</f>
        <v>0</v>
      </c>
      <c r="J50" s="210">
        <f>'III rok'!AD22</f>
        <v>100</v>
      </c>
      <c r="K50" s="210">
        <f>'III rok'!AE22</f>
        <v>4</v>
      </c>
    </row>
    <row r="51" spans="1:11" ht="15.75">
      <c r="A51" s="201">
        <v>5.12</v>
      </c>
      <c r="B51" s="199" t="s">
        <v>61</v>
      </c>
      <c r="C51" s="17" t="str">
        <f>"0912-7LEK-C"&amp;A51&amp;"-"&amp;UPPER(LEFT(B51,1))&amp;"K"</f>
        <v>0912-7LEK-C5.12-FK</v>
      </c>
      <c r="D51" s="209" t="s">
        <v>144</v>
      </c>
      <c r="E51" s="224">
        <f t="shared" si="8"/>
        <v>65</v>
      </c>
      <c r="F51" s="210">
        <f>'IV rok'!Z18</f>
        <v>30</v>
      </c>
      <c r="G51" s="210">
        <f>'IV rok'!AA18</f>
        <v>35</v>
      </c>
      <c r="H51" s="210">
        <f>'IV rok'!AB18</f>
        <v>0</v>
      </c>
      <c r="I51" s="210">
        <f>'IV rok'!AC18</f>
        <v>0</v>
      </c>
      <c r="J51" s="210">
        <f>'IV rok'!AD18</f>
        <v>100</v>
      </c>
      <c r="K51" s="210">
        <f>'IV rok'!AE18</f>
        <v>4</v>
      </c>
    </row>
    <row r="52" spans="1:11">
      <c r="A52" s="700" t="s">
        <v>9</v>
      </c>
      <c r="B52" s="701"/>
      <c r="C52" s="701"/>
      <c r="D52" s="702"/>
      <c r="E52" s="221">
        <f t="shared" ref="E52:K52" si="10">SUM(E39:E51)</f>
        <v>1060</v>
      </c>
      <c r="F52" s="221">
        <f t="shared" si="10"/>
        <v>325</v>
      </c>
      <c r="G52" s="221">
        <f t="shared" si="10"/>
        <v>355</v>
      </c>
      <c r="H52" s="221">
        <f t="shared" si="10"/>
        <v>380</v>
      </c>
      <c r="I52" s="221">
        <f t="shared" si="10"/>
        <v>0</v>
      </c>
      <c r="J52" s="221">
        <f t="shared" si="10"/>
        <v>1625</v>
      </c>
      <c r="K52" s="221">
        <f t="shared" si="10"/>
        <v>65</v>
      </c>
    </row>
    <row r="53" spans="1:11">
      <c r="A53" s="693" t="s">
        <v>26</v>
      </c>
      <c r="B53" s="694"/>
      <c r="C53" s="694"/>
      <c r="D53" s="694"/>
      <c r="E53" s="694"/>
      <c r="F53" s="694"/>
      <c r="G53" s="694"/>
      <c r="H53" s="694"/>
      <c r="I53" s="694"/>
      <c r="J53" s="694"/>
      <c r="K53" s="695"/>
    </row>
    <row r="54" spans="1:11" ht="15.75">
      <c r="A54" s="349">
        <v>6.1</v>
      </c>
      <c r="B54" s="222" t="s">
        <v>62</v>
      </c>
      <c r="C54" s="292" t="str">
        <f>"0912-7LEK-C"&amp;A54&amp;"-"&amp;UPPER(LEFT(B54,1))&amp;"iIT"</f>
        <v>0912-7LEK-C6.1-AiIT</v>
      </c>
      <c r="D54" s="293" t="s">
        <v>245</v>
      </c>
      <c r="E54" s="294">
        <f>SUM(F54:I54)</f>
        <v>95</v>
      </c>
      <c r="F54" s="294">
        <f>'IV rok'!Z21</f>
        <v>30</v>
      </c>
      <c r="G54" s="294">
        <f>'IV rok'!AA21</f>
        <v>30</v>
      </c>
      <c r="H54" s="294">
        <f>'IV rok'!AB21</f>
        <v>35</v>
      </c>
      <c r="I54" s="294">
        <f>'IV rok'!AC21</f>
        <v>0</v>
      </c>
      <c r="J54" s="294">
        <f>'IV rok'!AD21</f>
        <v>125</v>
      </c>
      <c r="K54" s="294">
        <f>'IV rok'!AE21</f>
        <v>5</v>
      </c>
    </row>
    <row r="55" spans="1:11" ht="15.75">
      <c r="A55" s="6">
        <v>6.2</v>
      </c>
      <c r="B55" s="199" t="s">
        <v>63</v>
      </c>
      <c r="C55" s="196" t="str">
        <f>"0912-7LEK-C"&amp;A55&amp;"-"&amp;UPPER(LEFT(B55,1))&amp;""</f>
        <v>0912-7LEK-C6.2-C</v>
      </c>
      <c r="D55" s="209" t="s">
        <v>246</v>
      </c>
      <c r="E55" s="294">
        <f t="shared" ref="E55:E66" si="11">SUM(F55:I55)</f>
        <v>255</v>
      </c>
      <c r="F55" s="210">
        <f>'III rok'!Z25+'IV rok'!Z22+'V rok'!Z20</f>
        <v>90</v>
      </c>
      <c r="G55" s="210">
        <v>90</v>
      </c>
      <c r="H55" s="210">
        <f>'III rok'!AB25+'IV rok'!AB22+'V rok'!AB20</f>
        <v>75</v>
      </c>
      <c r="I55" s="210">
        <f>'III rok'!AC25+'IV rok'!AC22+'V rok'!AC20</f>
        <v>0</v>
      </c>
      <c r="J55" s="210">
        <f>'III rok'!AD25+'IV rok'!AD22+'V rok'!AD20</f>
        <v>375</v>
      </c>
      <c r="K55" s="210">
        <f>'III rok'!AE25+'IV rok'!AE22+'V rok'!AE20</f>
        <v>15</v>
      </c>
    </row>
    <row r="56" spans="1:11" ht="15.75">
      <c r="A56" s="6">
        <v>6.3</v>
      </c>
      <c r="B56" s="199" t="s">
        <v>64</v>
      </c>
      <c r="C56" s="196" t="str">
        <f>"0912-7LEK-C"&amp;A56&amp;"-"&amp;UPPER(LEFT(B56,1))&amp;"D"</f>
        <v>0912-7LEK-C6.3-CD</v>
      </c>
      <c r="D56" s="209">
        <v>9</v>
      </c>
      <c r="E56" s="294">
        <f t="shared" si="11"/>
        <v>55</v>
      </c>
      <c r="F56" s="210">
        <f>'V rok'!Z21</f>
        <v>15</v>
      </c>
      <c r="G56" s="210">
        <f>'V rok'!AA21</f>
        <v>15</v>
      </c>
      <c r="H56" s="210">
        <f>'V rok'!AB21</f>
        <v>25</v>
      </c>
      <c r="I56" s="210">
        <f>'V rok'!AC21</f>
        <v>0</v>
      </c>
      <c r="J56" s="210">
        <f>'V rok'!AD21</f>
        <v>75</v>
      </c>
      <c r="K56" s="210">
        <f>'V rok'!AE21</f>
        <v>3</v>
      </c>
    </row>
    <row r="57" spans="1:11" ht="15.75">
      <c r="A57" s="6">
        <v>6.4</v>
      </c>
      <c r="B57" s="199" t="s">
        <v>65</v>
      </c>
      <c r="C57" s="196" t="str">
        <f>"0912-7LEK-C"&amp;A57&amp;"-"&amp;UPPER(LEFT(B57,1))&amp;"iT"</f>
        <v>0912-7LEK-C6.4-OiT</v>
      </c>
      <c r="D57" s="209" t="s">
        <v>129</v>
      </c>
      <c r="E57" s="294">
        <f t="shared" si="11"/>
        <v>55</v>
      </c>
      <c r="F57" s="210">
        <f>'V rok'!Z22</f>
        <v>15</v>
      </c>
      <c r="G57" s="210">
        <f>'V rok'!AA22</f>
        <v>15</v>
      </c>
      <c r="H57" s="210">
        <f>'V rok'!AB22</f>
        <v>25</v>
      </c>
      <c r="I57" s="210">
        <f>'V rok'!AC22</f>
        <v>0</v>
      </c>
      <c r="J57" s="210">
        <f>'V rok'!AD22</f>
        <v>75</v>
      </c>
      <c r="K57" s="210">
        <f>'V rok'!AE22</f>
        <v>3</v>
      </c>
    </row>
    <row r="58" spans="1:11" ht="15.75">
      <c r="A58" s="6">
        <v>6.5</v>
      </c>
      <c r="B58" s="199" t="s">
        <v>66</v>
      </c>
      <c r="C58" s="196" t="str">
        <f>"0912-7LEK-C"&amp;A58&amp;"-"&amp;UPPER(LEFT(B58,1))&amp;"O"</f>
        <v>0912-7LEK-C6.5-CO</v>
      </c>
      <c r="D58" s="209" t="s">
        <v>129</v>
      </c>
      <c r="E58" s="294">
        <f t="shared" si="11"/>
        <v>45</v>
      </c>
      <c r="F58" s="210">
        <f>'V rok'!Z23</f>
        <v>15</v>
      </c>
      <c r="G58" s="210">
        <f>'V rok'!AA23</f>
        <v>10</v>
      </c>
      <c r="H58" s="210">
        <f>'V rok'!AB23</f>
        <v>20</v>
      </c>
      <c r="I58" s="210">
        <f>'V rok'!AC23</f>
        <v>0</v>
      </c>
      <c r="J58" s="210">
        <f>'V rok'!AD23</f>
        <v>50</v>
      </c>
      <c r="K58" s="210">
        <f>'V rok'!AE23</f>
        <v>2</v>
      </c>
    </row>
    <row r="59" spans="1:11" ht="15.75">
      <c r="A59" s="6">
        <v>6.6</v>
      </c>
      <c r="B59" s="202" t="s">
        <v>67</v>
      </c>
      <c r="C59" s="196" t="str">
        <f>"0912-7LEK-C"&amp;A59&amp;"-"&amp;UPPER(LEFT(B59,1))&amp;""</f>
        <v>0912-7LEK-C6.6-U</v>
      </c>
      <c r="D59" s="209">
        <v>10</v>
      </c>
      <c r="E59" s="294">
        <f t="shared" si="11"/>
        <v>45</v>
      </c>
      <c r="F59" s="210">
        <f>'V rok'!Z24</f>
        <v>15</v>
      </c>
      <c r="G59" s="210">
        <f>'V rok'!AA24</f>
        <v>15</v>
      </c>
      <c r="H59" s="210">
        <f>'V rok'!AB24</f>
        <v>15</v>
      </c>
      <c r="I59" s="210">
        <f>'V rok'!AC24</f>
        <v>0</v>
      </c>
      <c r="J59" s="210">
        <f>'V rok'!AD24</f>
        <v>75</v>
      </c>
      <c r="K59" s="210">
        <f>'V rok'!AE24</f>
        <v>3</v>
      </c>
    </row>
    <row r="60" spans="1:11" ht="15.75">
      <c r="A60" s="6">
        <v>6.7</v>
      </c>
      <c r="B60" s="202" t="s">
        <v>68</v>
      </c>
      <c r="C60" s="196" t="str">
        <f>"0912-7LEK-C"&amp;A60&amp;"-"&amp;UPPER(LEFT(B60,1))&amp;""</f>
        <v>0912-7LEK-C6.7-O</v>
      </c>
      <c r="D60" s="209">
        <v>9</v>
      </c>
      <c r="E60" s="294">
        <f t="shared" si="11"/>
        <v>45</v>
      </c>
      <c r="F60" s="210">
        <f>'V rok'!Z25</f>
        <v>15</v>
      </c>
      <c r="G60" s="210">
        <f>'V rok'!AA25</f>
        <v>15</v>
      </c>
      <c r="H60" s="210">
        <f>'V rok'!AB25</f>
        <v>15</v>
      </c>
      <c r="I60" s="210">
        <f>'V rok'!AC25</f>
        <v>0</v>
      </c>
      <c r="J60" s="210">
        <f>'V rok'!AD25</f>
        <v>75</v>
      </c>
      <c r="K60" s="210">
        <f>'V rok'!AE25</f>
        <v>3</v>
      </c>
    </row>
    <row r="61" spans="1:11" ht="28.5" customHeight="1">
      <c r="A61" s="6">
        <v>6.8</v>
      </c>
      <c r="B61" s="458" t="s">
        <v>69</v>
      </c>
      <c r="C61" s="196" t="str">
        <f>"0912-7LEK-C"&amp;A61&amp;"-"&amp;UPPER(LEFT(B61,1))&amp;"R"</f>
        <v>0912-7LEK-C6.8-MR</v>
      </c>
      <c r="D61" s="209">
        <v>10</v>
      </c>
      <c r="E61" s="294">
        <f t="shared" si="11"/>
        <v>40</v>
      </c>
      <c r="F61" s="210">
        <f>'V rok'!Z26</f>
        <v>15</v>
      </c>
      <c r="G61" s="210">
        <f>'V rok'!AA26</f>
        <v>10</v>
      </c>
      <c r="H61" s="210">
        <f>'V rok'!AB26</f>
        <v>15</v>
      </c>
      <c r="I61" s="210">
        <f>'V rok'!AC26</f>
        <v>0</v>
      </c>
      <c r="J61" s="210">
        <f>'V rok'!AD26</f>
        <v>50</v>
      </c>
      <c r="K61" s="210">
        <f>'V rok'!AE26</f>
        <v>2</v>
      </c>
    </row>
    <row r="62" spans="1:11" ht="15.75">
      <c r="A62" s="6">
        <v>6.9</v>
      </c>
      <c r="B62" s="202" t="s">
        <v>70</v>
      </c>
      <c r="C62" s="196" t="str">
        <f>"0912-7LEK-C"&amp;A62&amp;"-"&amp;UPPER(LEFT(B62,1))&amp;"iP"</f>
        <v>0912-7LEK-C6.9-GiP</v>
      </c>
      <c r="D62" s="209" t="s">
        <v>247</v>
      </c>
      <c r="E62" s="294">
        <f t="shared" si="11"/>
        <v>110</v>
      </c>
      <c r="F62" s="210">
        <f>'V rok'!Z27</f>
        <v>30</v>
      </c>
      <c r="G62" s="210">
        <f>'V rok'!AA27</f>
        <v>35</v>
      </c>
      <c r="H62" s="210">
        <f>'V rok'!AB27</f>
        <v>45</v>
      </c>
      <c r="I62" s="210">
        <f>'V rok'!AC27</f>
        <v>0</v>
      </c>
      <c r="J62" s="210">
        <f>'V rok'!AD27</f>
        <v>150</v>
      </c>
      <c r="K62" s="210">
        <f>'V rok'!AE27</f>
        <v>6</v>
      </c>
    </row>
    <row r="63" spans="1:11" ht="15.75">
      <c r="A63" s="201">
        <v>6.1</v>
      </c>
      <c r="B63" s="202" t="s">
        <v>71</v>
      </c>
      <c r="C63" s="196" t="str">
        <f>"0912-7LEK-C"&amp;A63&amp;"-"&amp;UPPER(LEFT(B63,1))&amp;""</f>
        <v>0912-7LEK-C6.1-O</v>
      </c>
      <c r="D63" s="209">
        <v>10</v>
      </c>
      <c r="E63" s="294">
        <f t="shared" si="11"/>
        <v>40</v>
      </c>
      <c r="F63" s="210">
        <f>'V rok'!Z28</f>
        <v>15</v>
      </c>
      <c r="G63" s="210">
        <f>'V rok'!AA28</f>
        <v>10</v>
      </c>
      <c r="H63" s="210">
        <f>'V rok'!AB28</f>
        <v>15</v>
      </c>
      <c r="I63" s="210">
        <f>'V rok'!AC28</f>
        <v>0</v>
      </c>
      <c r="J63" s="210">
        <f>'V rok'!AD28</f>
        <v>50</v>
      </c>
      <c r="K63" s="210">
        <f>'V rok'!AE28</f>
        <v>2</v>
      </c>
    </row>
    <row r="64" spans="1:11" ht="15.75">
      <c r="A64" s="201">
        <v>6.11</v>
      </c>
      <c r="B64" s="202" t="s">
        <v>72</v>
      </c>
      <c r="C64" s="196" t="str">
        <f>"0912-7LEK-C"&amp;A64&amp;"-"&amp;UPPER(LEFT(B64,1))&amp;""</f>
        <v>0912-7LEK-C6.11-N</v>
      </c>
      <c r="D64" s="209">
        <v>10</v>
      </c>
      <c r="E64" s="294">
        <f t="shared" si="11"/>
        <v>45</v>
      </c>
      <c r="F64" s="210">
        <f>'V rok'!Z30</f>
        <v>15</v>
      </c>
      <c r="G64" s="210">
        <f>'V rok'!AA30</f>
        <v>15</v>
      </c>
      <c r="H64" s="210">
        <f>'V rok'!AB30</f>
        <v>15</v>
      </c>
      <c r="I64" s="210">
        <f>'V rok'!AC30</f>
        <v>0</v>
      </c>
      <c r="J64" s="210">
        <f>'V rok'!AD30</f>
        <v>50</v>
      </c>
      <c r="K64" s="210">
        <f>'V rok'!AE30</f>
        <v>2</v>
      </c>
    </row>
    <row r="65" spans="1:11" ht="15.75">
      <c r="A65" s="201">
        <v>6.12</v>
      </c>
      <c r="B65" s="202" t="s">
        <v>73</v>
      </c>
      <c r="C65" s="196" t="str">
        <f>"0912-7LEK-C"&amp;A65&amp;"-"&amp;UPPER(LEFT(B65,1))&amp;""</f>
        <v>0912-7LEK-C6.12-T</v>
      </c>
      <c r="D65" s="209" t="s">
        <v>129</v>
      </c>
      <c r="E65" s="294">
        <f t="shared" si="11"/>
        <v>15</v>
      </c>
      <c r="F65" s="210">
        <f>'V rok'!Z29</f>
        <v>15</v>
      </c>
      <c r="G65" s="210">
        <f>'V rok'!AA29</f>
        <v>0</v>
      </c>
      <c r="H65" s="210">
        <f>'V rok'!AB29</f>
        <v>0</v>
      </c>
      <c r="I65" s="210">
        <f>'V rok'!AC29</f>
        <v>0</v>
      </c>
      <c r="J65" s="210">
        <f>'V rok'!AD29</f>
        <v>25</v>
      </c>
      <c r="K65" s="210">
        <f>'V rok'!AE29</f>
        <v>1</v>
      </c>
    </row>
    <row r="66" spans="1:11" ht="15.75">
      <c r="A66" s="201">
        <v>6.13</v>
      </c>
      <c r="B66" s="202" t="s">
        <v>74</v>
      </c>
      <c r="C66" s="196" t="str">
        <f>"0912-7LEK-C"&amp;A66&amp;"-"&amp;UPPER(LEFT(B66,1))&amp;"O"</f>
        <v>0912-7LEK-C6.13-DO</v>
      </c>
      <c r="D66" s="209">
        <v>8</v>
      </c>
      <c r="E66" s="294">
        <f t="shared" si="11"/>
        <v>55</v>
      </c>
      <c r="F66" s="210">
        <f>'IV rok'!Z23</f>
        <v>15</v>
      </c>
      <c r="G66" s="210">
        <f>'IV rok'!AA23</f>
        <v>15</v>
      </c>
      <c r="H66" s="210">
        <f>'IV rok'!AB23</f>
        <v>25</v>
      </c>
      <c r="I66" s="210">
        <f>'IV rok'!AC23</f>
        <v>0</v>
      </c>
      <c r="J66" s="210">
        <f>'IV rok'!AD23</f>
        <v>75</v>
      </c>
      <c r="K66" s="210">
        <f>'IV rok'!AE23</f>
        <v>3</v>
      </c>
    </row>
    <row r="67" spans="1:11">
      <c r="A67" s="700" t="s">
        <v>9</v>
      </c>
      <c r="B67" s="701"/>
      <c r="C67" s="701"/>
      <c r="D67" s="702"/>
      <c r="E67" s="221">
        <f t="shared" ref="E67:K67" si="12">SUM(E54:E66)</f>
        <v>900</v>
      </c>
      <c r="F67" s="221">
        <f t="shared" si="12"/>
        <v>300</v>
      </c>
      <c r="G67" s="221">
        <f t="shared" si="12"/>
        <v>275</v>
      </c>
      <c r="H67" s="221">
        <f t="shared" si="12"/>
        <v>325</v>
      </c>
      <c r="I67" s="221">
        <f t="shared" si="12"/>
        <v>0</v>
      </c>
      <c r="J67" s="221">
        <f t="shared" si="12"/>
        <v>1250</v>
      </c>
      <c r="K67" s="221">
        <f t="shared" si="12"/>
        <v>50</v>
      </c>
    </row>
    <row r="68" spans="1:11" s="226" customFormat="1">
      <c r="A68" s="693" t="s">
        <v>27</v>
      </c>
      <c r="B68" s="694"/>
      <c r="C68" s="694"/>
      <c r="D68" s="694"/>
      <c r="E68" s="694"/>
      <c r="F68" s="694"/>
      <c r="G68" s="694"/>
      <c r="H68" s="694"/>
      <c r="I68" s="694"/>
      <c r="J68" s="694"/>
      <c r="K68" s="695"/>
    </row>
    <row r="69" spans="1:11" ht="15.75">
      <c r="A69" s="349">
        <v>7.1</v>
      </c>
      <c r="B69" s="225" t="s">
        <v>75</v>
      </c>
      <c r="C69" s="196" t="str">
        <f>"0912-7LEK-C"&amp;A69&amp;"-"&amp;UPPER(LEFT(B69,1))</f>
        <v>0912-7LEK-C7.1-H</v>
      </c>
      <c r="D69" s="223" t="s">
        <v>243</v>
      </c>
      <c r="E69" s="224">
        <f>SUM(F69:I69)</f>
        <v>15</v>
      </c>
      <c r="F69" s="224">
        <f>'II rok'!Z27</f>
        <v>15</v>
      </c>
      <c r="G69" s="224">
        <f>'II rok'!AA27</f>
        <v>0</v>
      </c>
      <c r="H69" s="224">
        <f>'II rok'!AB27</f>
        <v>0</v>
      </c>
      <c r="I69" s="224">
        <f>'II rok'!AC27</f>
        <v>0</v>
      </c>
      <c r="J69" s="224">
        <f>'II rok'!AD27</f>
        <v>25</v>
      </c>
      <c r="K69" s="224">
        <f>'II rok'!AE27</f>
        <v>1</v>
      </c>
    </row>
    <row r="70" spans="1:11" ht="15.75">
      <c r="A70" s="6">
        <v>7.2</v>
      </c>
      <c r="B70" s="202" t="s">
        <v>76</v>
      </c>
      <c r="C70" s="17" t="str">
        <f>"0912-7LEK-C"&amp;A70&amp;"-"&amp;UPPER(LEFT(B70,1))</f>
        <v>0912-7LEK-C7.2-E</v>
      </c>
      <c r="D70" s="209" t="s">
        <v>243</v>
      </c>
      <c r="E70" s="224">
        <f>SUM(F70:I70)</f>
        <v>15</v>
      </c>
      <c r="F70" s="224">
        <f>'II rok'!Z28</f>
        <v>15</v>
      </c>
      <c r="G70" s="224">
        <f>'II rok'!AA28</f>
        <v>0</v>
      </c>
      <c r="H70" s="224">
        <f>'II rok'!AB28</f>
        <v>0</v>
      </c>
      <c r="I70" s="224">
        <f>'II rok'!AC28</f>
        <v>0</v>
      </c>
      <c r="J70" s="224">
        <f>'II rok'!AD28</f>
        <v>25</v>
      </c>
      <c r="K70" s="224">
        <f>'II rok'!AE28</f>
        <v>1</v>
      </c>
    </row>
    <row r="71" spans="1:11" ht="15.75">
      <c r="A71" s="6">
        <v>7.3</v>
      </c>
      <c r="B71" s="202" t="s">
        <v>77</v>
      </c>
      <c r="C71" s="17" t="str">
        <f>"0912-7LEK-C"&amp;A71&amp;"-"&amp;UPPER(LEFT(B71,1))</f>
        <v>0912-7LEK-C7.3-Z</v>
      </c>
      <c r="D71" s="209" t="s">
        <v>143</v>
      </c>
      <c r="E71" s="224">
        <f>SUM(F71:I71)</f>
        <v>15</v>
      </c>
      <c r="F71" s="224">
        <f>'II rok'!Z29</f>
        <v>15</v>
      </c>
      <c r="G71" s="224">
        <f>'II rok'!AA29</f>
        <v>0</v>
      </c>
      <c r="H71" s="224">
        <f>'II rok'!AB29</f>
        <v>0</v>
      </c>
      <c r="I71" s="224">
        <f>'II rok'!AC29</f>
        <v>0</v>
      </c>
      <c r="J71" s="224">
        <f>'II rok'!AD29</f>
        <v>25</v>
      </c>
      <c r="K71" s="224">
        <f>'II rok'!AE29</f>
        <v>1</v>
      </c>
    </row>
    <row r="72" spans="1:11" ht="15.75">
      <c r="A72" s="6">
        <v>7.4</v>
      </c>
      <c r="B72" s="202" t="s">
        <v>78</v>
      </c>
      <c r="C72" s="17" t="str">
        <f>"0912-7LEK-C"&amp;A72&amp;"-"&amp;UPPER(LEFT(B72,1))</f>
        <v>0912-7LEK-C7.4-P</v>
      </c>
      <c r="D72" s="209" t="s">
        <v>129</v>
      </c>
      <c r="E72" s="224">
        <f>SUM(F72:I72)</f>
        <v>15</v>
      </c>
      <c r="F72" s="210">
        <f>'V rok'!Z33</f>
        <v>15</v>
      </c>
      <c r="G72" s="210">
        <f>'V rok'!AA33</f>
        <v>0</v>
      </c>
      <c r="H72" s="210">
        <f>'V rok'!AB33</f>
        <v>0</v>
      </c>
      <c r="I72" s="210">
        <f>'V rok'!AC33</f>
        <v>0</v>
      </c>
      <c r="J72" s="210">
        <f>'V rok'!AD33</f>
        <v>25</v>
      </c>
      <c r="K72" s="210">
        <f>'V rok'!AE33</f>
        <v>1</v>
      </c>
    </row>
    <row r="73" spans="1:11" ht="15.75">
      <c r="A73" s="6">
        <v>7.5</v>
      </c>
      <c r="B73" s="202" t="s">
        <v>79</v>
      </c>
      <c r="C73" s="17" t="str">
        <f>"0912-7LEK-C"&amp;A73&amp;"-"&amp;UPPER(LEFT(B73,1))</f>
        <v>0912-7LEK-C7.5-M</v>
      </c>
      <c r="D73" s="209">
        <v>10</v>
      </c>
      <c r="E73" s="224">
        <f>SUM(F73:I73)</f>
        <v>40</v>
      </c>
      <c r="F73" s="210">
        <f>'V rok'!Z34</f>
        <v>20</v>
      </c>
      <c r="G73" s="210">
        <f>'V rok'!AA34</f>
        <v>15</v>
      </c>
      <c r="H73" s="210">
        <f>'V rok'!AB34</f>
        <v>5</v>
      </c>
      <c r="I73" s="210">
        <f>'V rok'!AC34</f>
        <v>0</v>
      </c>
      <c r="J73" s="210">
        <f>'V rok'!AD34</f>
        <v>50</v>
      </c>
      <c r="K73" s="210">
        <f>'V rok'!AE34</f>
        <v>2</v>
      </c>
    </row>
    <row r="74" spans="1:11">
      <c r="A74" s="700" t="s">
        <v>9</v>
      </c>
      <c r="B74" s="701"/>
      <c r="C74" s="701"/>
      <c r="D74" s="702"/>
      <c r="E74" s="221">
        <f t="shared" ref="E74:K74" si="13">SUM(E69:E73)</f>
        <v>100</v>
      </c>
      <c r="F74" s="221">
        <f t="shared" si="13"/>
        <v>80</v>
      </c>
      <c r="G74" s="221">
        <f t="shared" si="13"/>
        <v>15</v>
      </c>
      <c r="H74" s="221">
        <f t="shared" si="13"/>
        <v>5</v>
      </c>
      <c r="I74" s="221">
        <f t="shared" si="13"/>
        <v>0</v>
      </c>
      <c r="J74" s="221">
        <f t="shared" si="13"/>
        <v>150</v>
      </c>
      <c r="K74" s="221">
        <f t="shared" si="13"/>
        <v>6</v>
      </c>
    </row>
    <row r="75" spans="1:11">
      <c r="A75" s="693" t="s">
        <v>28</v>
      </c>
      <c r="B75" s="694"/>
      <c r="C75" s="694"/>
      <c r="D75" s="694"/>
      <c r="E75" s="694"/>
      <c r="F75" s="694"/>
      <c r="G75" s="694"/>
      <c r="H75" s="694"/>
      <c r="I75" s="694"/>
      <c r="J75" s="694"/>
      <c r="K75" s="695"/>
    </row>
    <row r="76" spans="1:11" ht="15.75">
      <c r="A76" s="349">
        <v>8.1</v>
      </c>
      <c r="B76" s="225" t="s">
        <v>80</v>
      </c>
      <c r="C76" s="196" t="str">
        <f>"0912-7LEK-C"&amp;A76&amp;"-"&amp;UPPER(LEFT(B76,1))</f>
        <v>0912-7LEK-C8.1-C</v>
      </c>
      <c r="D76" s="223" t="s">
        <v>133</v>
      </c>
      <c r="E76" s="224" t="e">
        <f>SUM(F76:I76)</f>
        <v>#REF!</v>
      </c>
      <c r="F76" s="224" t="e">
        <f>#REF!</f>
        <v>#REF!</v>
      </c>
      <c r="G76" s="224" t="e">
        <f>#REF!</f>
        <v>#REF!</v>
      </c>
      <c r="H76" s="224" t="e">
        <f>#REF!</f>
        <v>#REF!</v>
      </c>
      <c r="I76" s="224" t="e">
        <f>#REF!</f>
        <v>#REF!</v>
      </c>
      <c r="J76" s="224" t="e">
        <f>#REF!</f>
        <v>#REF!</v>
      </c>
      <c r="K76" s="224" t="e">
        <f>#REF!</f>
        <v>#REF!</v>
      </c>
    </row>
    <row r="77" spans="1:11" ht="15.75">
      <c r="A77" s="6">
        <v>8.1999999999999993</v>
      </c>
      <c r="B77" s="202" t="s">
        <v>51</v>
      </c>
      <c r="C77" s="17" t="str">
        <f t="shared" ref="C77:C83" si="14">"0912-7LEK-C"&amp;A77&amp;"-"&amp;UPPER(LEFT(B77,1))</f>
        <v>0912-7LEK-C8.2-P</v>
      </c>
      <c r="D77" s="209" t="s">
        <v>133</v>
      </c>
      <c r="E77" s="224" t="e">
        <f t="shared" ref="E77:E83" si="15">SUM(F77:I77)</f>
        <v>#REF!</v>
      </c>
      <c r="F77" s="224" t="e">
        <f>#REF!</f>
        <v>#REF!</v>
      </c>
      <c r="G77" s="224" t="e">
        <f>#REF!</f>
        <v>#REF!</v>
      </c>
      <c r="H77" s="224" t="e">
        <f>#REF!</f>
        <v>#REF!</v>
      </c>
      <c r="I77" s="224" t="e">
        <f>#REF!</f>
        <v>#REF!</v>
      </c>
      <c r="J77" s="224" t="e">
        <f>#REF!</f>
        <v>#REF!</v>
      </c>
      <c r="K77" s="224" t="e">
        <f>#REF!</f>
        <v>#REF!</v>
      </c>
    </row>
    <row r="78" spans="1:11" ht="15.75">
      <c r="A78" s="6">
        <v>8.3000000000000007</v>
      </c>
      <c r="B78" s="202" t="s">
        <v>81</v>
      </c>
      <c r="C78" s="17" t="str">
        <f t="shared" si="14"/>
        <v>0912-7LEK-C8.3-C</v>
      </c>
      <c r="D78" s="209" t="s">
        <v>250</v>
      </c>
      <c r="E78" s="224" t="e">
        <f t="shared" si="15"/>
        <v>#REF!</v>
      </c>
      <c r="F78" s="224" t="e">
        <f>#REF!</f>
        <v>#REF!</v>
      </c>
      <c r="G78" s="224" t="e">
        <f>#REF!</f>
        <v>#REF!</v>
      </c>
      <c r="H78" s="224" t="e">
        <f>#REF!</f>
        <v>#REF!</v>
      </c>
      <c r="I78" s="224" t="e">
        <f>#REF!</f>
        <v>#REF!</v>
      </c>
      <c r="J78" s="224" t="e">
        <f>#REF!</f>
        <v>#REF!</v>
      </c>
      <c r="K78" s="224" t="e">
        <f>#REF!</f>
        <v>#REF!</v>
      </c>
    </row>
    <row r="79" spans="1:11" ht="15.75">
      <c r="A79" s="6">
        <v>8.4</v>
      </c>
      <c r="B79" s="202" t="s">
        <v>70</v>
      </c>
      <c r="C79" s="17" t="str">
        <f t="shared" si="14"/>
        <v>0912-7LEK-C8.4-G</v>
      </c>
      <c r="D79" s="209" t="s">
        <v>134</v>
      </c>
      <c r="E79" s="224" t="e">
        <f t="shared" si="15"/>
        <v>#REF!</v>
      </c>
      <c r="F79" s="224" t="e">
        <f>#REF!</f>
        <v>#REF!</v>
      </c>
      <c r="G79" s="224" t="e">
        <f>#REF!</f>
        <v>#REF!</v>
      </c>
      <c r="H79" s="224" t="e">
        <f>#REF!</f>
        <v>#REF!</v>
      </c>
      <c r="I79" s="224" t="e">
        <f>#REF!</f>
        <v>#REF!</v>
      </c>
      <c r="J79" s="224" t="e">
        <f>#REF!</f>
        <v>#REF!</v>
      </c>
      <c r="K79" s="224" t="e">
        <f>#REF!</f>
        <v>#REF!</v>
      </c>
    </row>
    <row r="80" spans="1:11" ht="15.75">
      <c r="A80" s="6">
        <v>8.5</v>
      </c>
      <c r="B80" s="202" t="s">
        <v>54</v>
      </c>
      <c r="C80" s="17" t="str">
        <f t="shared" si="14"/>
        <v>0912-7LEK-C8.5-P</v>
      </c>
      <c r="D80" s="209" t="s">
        <v>133</v>
      </c>
      <c r="E80" s="224" t="e">
        <f t="shared" si="15"/>
        <v>#REF!</v>
      </c>
      <c r="F80" s="224" t="e">
        <f>#REF!</f>
        <v>#REF!</v>
      </c>
      <c r="G80" s="224" t="e">
        <f>#REF!</f>
        <v>#REF!</v>
      </c>
      <c r="H80" s="224" t="e">
        <f>#REF!</f>
        <v>#REF!</v>
      </c>
      <c r="I80" s="224" t="e">
        <f>#REF!</f>
        <v>#REF!</v>
      </c>
      <c r="J80" s="224" t="e">
        <f>#REF!</f>
        <v>#REF!</v>
      </c>
      <c r="K80" s="224" t="e">
        <f>#REF!</f>
        <v>#REF!</v>
      </c>
    </row>
    <row r="81" spans="1:11" ht="15.75">
      <c r="A81" s="6">
        <v>8.6</v>
      </c>
      <c r="B81" s="202" t="s">
        <v>82</v>
      </c>
      <c r="C81" s="17" t="str">
        <f>"0912-7LEK-C"&amp;A81&amp;"-"&amp;UPPER(LEFT(B81,1))&amp;"R"</f>
        <v>0912-7LEK-C8.6-MR</v>
      </c>
      <c r="D81" s="209" t="s">
        <v>134</v>
      </c>
      <c r="E81" s="224" t="e">
        <f t="shared" si="15"/>
        <v>#REF!</v>
      </c>
      <c r="F81" s="224" t="e">
        <f>#REF!</f>
        <v>#REF!</v>
      </c>
      <c r="G81" s="224" t="e">
        <f>#REF!</f>
        <v>#REF!</v>
      </c>
      <c r="H81" s="224" t="e">
        <f>#REF!</f>
        <v>#REF!</v>
      </c>
      <c r="I81" s="224" t="e">
        <f>#REF!</f>
        <v>#REF!</v>
      </c>
      <c r="J81" s="224" t="e">
        <f>#REF!</f>
        <v>#REF!</v>
      </c>
      <c r="K81" s="224" t="e">
        <f>#REF!</f>
        <v>#REF!</v>
      </c>
    </row>
    <row r="82" spans="1:11" ht="15.75">
      <c r="A82" s="6">
        <v>8.6999999999999993</v>
      </c>
      <c r="B82" s="202" t="s">
        <v>56</v>
      </c>
      <c r="C82" s="17" t="str">
        <f t="shared" si="14"/>
        <v>0912-7LEK-C8.7-M</v>
      </c>
      <c r="D82" s="209" t="s">
        <v>134</v>
      </c>
      <c r="E82" s="224" t="e">
        <f t="shared" si="15"/>
        <v>#REF!</v>
      </c>
      <c r="F82" s="224" t="e">
        <f>#REF!</f>
        <v>#REF!</v>
      </c>
      <c r="G82" s="224" t="e">
        <f>#REF!</f>
        <v>#REF!</v>
      </c>
      <c r="H82" s="224" t="e">
        <f>#REF!</f>
        <v>#REF!</v>
      </c>
      <c r="I82" s="224" t="e">
        <f>#REF!</f>
        <v>#REF!</v>
      </c>
      <c r="J82" s="224" t="e">
        <f>#REF!</f>
        <v>#REF!</v>
      </c>
      <c r="K82" s="224" t="e">
        <f>#REF!</f>
        <v>#REF!</v>
      </c>
    </row>
    <row r="83" spans="1:11" ht="15.75">
      <c r="A83" s="6">
        <v>8.8000000000000007</v>
      </c>
      <c r="B83" s="202" t="s">
        <v>33</v>
      </c>
      <c r="C83" s="17" t="str">
        <f t="shared" si="14"/>
        <v>0912-7LEK-C8.8-S</v>
      </c>
      <c r="D83" s="209" t="s">
        <v>134</v>
      </c>
      <c r="E83" s="224" t="e">
        <f t="shared" si="15"/>
        <v>#REF!</v>
      </c>
      <c r="F83" s="224" t="e">
        <f>#REF!</f>
        <v>#REF!</v>
      </c>
      <c r="G83" s="224" t="e">
        <f>#REF!</f>
        <v>#REF!</v>
      </c>
      <c r="H83" s="224" t="e">
        <f>#REF!</f>
        <v>#REF!</v>
      </c>
      <c r="I83" s="224" t="e">
        <f>#REF!</f>
        <v>#REF!</v>
      </c>
      <c r="J83" s="224" t="e">
        <f>#REF!</f>
        <v>#REF!</v>
      </c>
      <c r="K83" s="224" t="e">
        <f>#REF!</f>
        <v>#REF!</v>
      </c>
    </row>
    <row r="84" spans="1:11">
      <c r="A84" s="700" t="s">
        <v>9</v>
      </c>
      <c r="B84" s="701"/>
      <c r="C84" s="701"/>
      <c r="D84" s="702"/>
      <c r="E84" s="221" t="e">
        <f t="shared" ref="E84:K84" si="16">SUM(E76:E83)</f>
        <v>#REF!</v>
      </c>
      <c r="F84" s="221" t="e">
        <f t="shared" si="16"/>
        <v>#REF!</v>
      </c>
      <c r="G84" s="221" t="e">
        <f t="shared" si="16"/>
        <v>#REF!</v>
      </c>
      <c r="H84" s="221" t="e">
        <f t="shared" si="16"/>
        <v>#REF!</v>
      </c>
      <c r="I84" s="221" t="e">
        <f t="shared" si="16"/>
        <v>#REF!</v>
      </c>
      <c r="J84" s="221" t="e">
        <f t="shared" si="16"/>
        <v>#REF!</v>
      </c>
      <c r="K84" s="221" t="e">
        <f t="shared" si="16"/>
        <v>#REF!</v>
      </c>
    </row>
    <row r="85" spans="1:11">
      <c r="A85" s="693" t="s">
        <v>29</v>
      </c>
      <c r="B85" s="694"/>
      <c r="C85" s="694"/>
      <c r="D85" s="694"/>
      <c r="E85" s="694"/>
      <c r="F85" s="694"/>
      <c r="G85" s="694"/>
      <c r="H85" s="694"/>
      <c r="I85" s="694"/>
      <c r="J85" s="694"/>
      <c r="K85" s="695"/>
    </row>
    <row r="86" spans="1:11" ht="15.75">
      <c r="A86" s="349">
        <v>9.1</v>
      </c>
      <c r="B86" s="225" t="s">
        <v>83</v>
      </c>
      <c r="C86" s="196" t="str">
        <f t="shared" ref="C86:C93" si="17">"0912-7LEK-C"&amp;A86&amp;"-"&amp;UPPER(LEFT(B86,1))</f>
        <v>0912-7LEK-C9.1-O</v>
      </c>
      <c r="D86" s="223" t="s">
        <v>242</v>
      </c>
      <c r="E86" s="224">
        <v>120</v>
      </c>
      <c r="F86" s="224">
        <v>0</v>
      </c>
      <c r="G86" s="224">
        <v>0</v>
      </c>
      <c r="H86" s="224">
        <v>120</v>
      </c>
      <c r="I86" s="224">
        <v>0</v>
      </c>
      <c r="J86" s="224">
        <v>120</v>
      </c>
      <c r="K86" s="224">
        <v>4</v>
      </c>
    </row>
    <row r="87" spans="1:11" ht="15.75">
      <c r="A87" s="6">
        <v>9.1999999999999993</v>
      </c>
      <c r="B87" s="202" t="s">
        <v>236</v>
      </c>
      <c r="C87" s="17" t="str">
        <f t="shared" si="17"/>
        <v>0912-7LEK-C9.2-L</v>
      </c>
      <c r="D87" s="209" t="s">
        <v>143</v>
      </c>
      <c r="E87" s="210">
        <v>90</v>
      </c>
      <c r="F87" s="210">
        <v>0</v>
      </c>
      <c r="G87" s="210">
        <v>0</v>
      </c>
      <c r="H87" s="210">
        <v>90</v>
      </c>
      <c r="I87" s="210">
        <v>0</v>
      </c>
      <c r="J87" s="210">
        <v>90</v>
      </c>
      <c r="K87" s="210">
        <v>3</v>
      </c>
    </row>
    <row r="88" spans="1:11" ht="15.75">
      <c r="A88" s="6">
        <v>9.3000000000000007</v>
      </c>
      <c r="B88" s="202" t="s">
        <v>85</v>
      </c>
      <c r="C88" s="17" t="str">
        <f t="shared" si="17"/>
        <v>0912-7LEK-C9.3-P</v>
      </c>
      <c r="D88" s="209" t="s">
        <v>143</v>
      </c>
      <c r="E88" s="210">
        <v>30</v>
      </c>
      <c r="F88" s="210">
        <v>0</v>
      </c>
      <c r="G88" s="210">
        <v>0</v>
      </c>
      <c r="H88" s="210">
        <v>30</v>
      </c>
      <c r="I88" s="210">
        <v>0</v>
      </c>
      <c r="J88" s="210">
        <v>30</v>
      </c>
      <c r="K88" s="210">
        <v>1</v>
      </c>
    </row>
    <row r="89" spans="1:11" ht="15.75">
      <c r="A89" s="6">
        <v>9.4</v>
      </c>
      <c r="B89" s="202" t="s">
        <v>80</v>
      </c>
      <c r="C89" s="17" t="str">
        <f t="shared" si="17"/>
        <v>0912-7LEK-C9.4-C</v>
      </c>
      <c r="D89" s="209" t="s">
        <v>146</v>
      </c>
      <c r="E89" s="210">
        <v>120</v>
      </c>
      <c r="F89" s="210">
        <v>0</v>
      </c>
      <c r="G89" s="210">
        <v>0</v>
      </c>
      <c r="H89" s="210">
        <v>120</v>
      </c>
      <c r="I89" s="210">
        <v>0</v>
      </c>
      <c r="J89" s="210">
        <v>120</v>
      </c>
      <c r="K89" s="210">
        <v>4</v>
      </c>
    </row>
    <row r="90" spans="1:11" ht="15.75">
      <c r="A90" s="6">
        <v>9.5</v>
      </c>
      <c r="B90" s="202" t="s">
        <v>86</v>
      </c>
      <c r="C90" s="17" t="str">
        <f t="shared" si="17"/>
        <v>0912-7LEK-C9.5-I</v>
      </c>
      <c r="D90" s="209" t="s">
        <v>144</v>
      </c>
      <c r="E90" s="210">
        <v>60</v>
      </c>
      <c r="F90" s="210">
        <v>0</v>
      </c>
      <c r="G90" s="210">
        <v>0</v>
      </c>
      <c r="H90" s="210">
        <v>60</v>
      </c>
      <c r="I90" s="210">
        <v>0</v>
      </c>
      <c r="J90" s="210">
        <v>60</v>
      </c>
      <c r="K90" s="210">
        <v>2</v>
      </c>
    </row>
    <row r="91" spans="1:11" ht="15.75">
      <c r="A91" s="6">
        <v>9.6</v>
      </c>
      <c r="B91" s="202" t="s">
        <v>51</v>
      </c>
      <c r="C91" s="17" t="str">
        <f t="shared" si="17"/>
        <v>0912-7LEK-C9.6-P</v>
      </c>
      <c r="D91" s="209" t="s">
        <v>144</v>
      </c>
      <c r="E91" s="210">
        <v>60</v>
      </c>
      <c r="F91" s="210">
        <v>0</v>
      </c>
      <c r="G91" s="210">
        <v>0</v>
      </c>
      <c r="H91" s="210">
        <v>60</v>
      </c>
      <c r="I91" s="210">
        <v>0</v>
      </c>
      <c r="J91" s="210">
        <v>60</v>
      </c>
      <c r="K91" s="210">
        <v>2</v>
      </c>
    </row>
    <row r="92" spans="1:11" ht="15.75">
      <c r="A92" s="6">
        <v>9.6999999999999993</v>
      </c>
      <c r="B92" s="202" t="s">
        <v>81</v>
      </c>
      <c r="C92" s="17" t="str">
        <f t="shared" si="17"/>
        <v>0912-7LEK-C9.7-C</v>
      </c>
      <c r="D92" s="209" t="s">
        <v>132</v>
      </c>
      <c r="E92" s="210">
        <v>60</v>
      </c>
      <c r="F92" s="210">
        <v>0</v>
      </c>
      <c r="G92" s="210">
        <v>0</v>
      </c>
      <c r="H92" s="210">
        <v>60</v>
      </c>
      <c r="I92" s="210">
        <v>0</v>
      </c>
      <c r="J92" s="210">
        <v>60</v>
      </c>
      <c r="K92" s="210">
        <v>2</v>
      </c>
    </row>
    <row r="93" spans="1:11" ht="15.75">
      <c r="A93" s="6">
        <v>9.8000000000000007</v>
      </c>
      <c r="B93" s="202" t="s">
        <v>70</v>
      </c>
      <c r="C93" s="17" t="str">
        <f t="shared" si="17"/>
        <v>0912-7LEK-C9.8-G</v>
      </c>
      <c r="D93" s="209" t="s">
        <v>132</v>
      </c>
      <c r="E93" s="210">
        <v>60</v>
      </c>
      <c r="F93" s="210">
        <v>0</v>
      </c>
      <c r="G93" s="210">
        <v>0</v>
      </c>
      <c r="H93" s="210">
        <v>60</v>
      </c>
      <c r="I93" s="210">
        <v>0</v>
      </c>
      <c r="J93" s="210">
        <v>60</v>
      </c>
      <c r="K93" s="210">
        <v>2</v>
      </c>
    </row>
    <row r="94" spans="1:11">
      <c r="A94" s="706" t="s">
        <v>9</v>
      </c>
      <c r="B94" s="706"/>
      <c r="C94" s="261"/>
      <c r="D94" s="211"/>
      <c r="E94" s="214">
        <f>SUM(E86:E93)</f>
        <v>600</v>
      </c>
      <c r="F94" s="214">
        <f t="shared" ref="F94:K94" si="18">SUM(F86:F93)</f>
        <v>0</v>
      </c>
      <c r="G94" s="214">
        <f t="shared" si="18"/>
        <v>0</v>
      </c>
      <c r="H94" s="214">
        <f t="shared" si="18"/>
        <v>600</v>
      </c>
      <c r="I94" s="214">
        <f t="shared" si="18"/>
        <v>0</v>
      </c>
      <c r="J94" s="214">
        <f t="shared" si="18"/>
        <v>600</v>
      </c>
      <c r="K94" s="214">
        <f t="shared" si="18"/>
        <v>20</v>
      </c>
    </row>
    <row r="95" spans="1:11">
      <c r="A95" s="693" t="s">
        <v>31</v>
      </c>
      <c r="B95" s="694"/>
      <c r="C95" s="694"/>
      <c r="D95" s="694"/>
      <c r="E95" s="694"/>
      <c r="F95" s="694"/>
      <c r="G95" s="694"/>
      <c r="H95" s="694"/>
      <c r="I95" s="694"/>
      <c r="J95" s="694"/>
      <c r="K95" s="695"/>
    </row>
    <row r="96" spans="1:11" ht="15.75">
      <c r="A96" s="6">
        <v>10.1</v>
      </c>
      <c r="B96" s="202" t="s">
        <v>206</v>
      </c>
      <c r="C96" s="17" t="s">
        <v>322</v>
      </c>
      <c r="D96" s="209" t="s">
        <v>240</v>
      </c>
      <c r="E96" s="210">
        <f t="shared" ref="E96:E102" si="19">SUM(F96:I96)</f>
        <v>50</v>
      </c>
      <c r="F96" s="210">
        <f>'I rok'!Z32</f>
        <v>0</v>
      </c>
      <c r="G96" s="210">
        <f>'I rok'!AA32</f>
        <v>50</v>
      </c>
      <c r="H96" s="210">
        <v>0</v>
      </c>
      <c r="I96" s="210">
        <v>0</v>
      </c>
      <c r="J96" s="210">
        <f>'I rok'!AD32</f>
        <v>60</v>
      </c>
      <c r="K96" s="210">
        <f>'I rok'!AE32</f>
        <v>2</v>
      </c>
    </row>
    <row r="97" spans="1:11" ht="15.75">
      <c r="A97" s="6">
        <v>10.199999999999999</v>
      </c>
      <c r="B97" s="202" t="s">
        <v>19</v>
      </c>
      <c r="C97" s="17" t="s">
        <v>323</v>
      </c>
      <c r="D97" s="209" t="s">
        <v>241</v>
      </c>
      <c r="E97" s="210">
        <f t="shared" si="19"/>
        <v>30</v>
      </c>
      <c r="F97" s="210">
        <v>0</v>
      </c>
      <c r="G97" s="210">
        <f>'I rok'!AA33</f>
        <v>30</v>
      </c>
      <c r="H97" s="210">
        <v>0</v>
      </c>
      <c r="I97" s="210">
        <v>0</v>
      </c>
      <c r="J97" s="210">
        <f>'I rok'!AD33</f>
        <v>30</v>
      </c>
      <c r="K97" s="210">
        <f>'I rok'!AE33</f>
        <v>1</v>
      </c>
    </row>
    <row r="98" spans="1:11" ht="18.75" customHeight="1">
      <c r="A98" s="6">
        <v>10.3</v>
      </c>
      <c r="B98" s="202" t="s">
        <v>87</v>
      </c>
      <c r="C98" s="17" t="str">
        <f>"0912-7LEK-A"&amp;A98&amp;"-"&amp;UPPER(LEFT(B98,1))&amp;"B"</f>
        <v>0912-7LEK-A10.3-PB</v>
      </c>
      <c r="D98" s="209" t="s">
        <v>241</v>
      </c>
      <c r="E98" s="210">
        <f t="shared" si="19"/>
        <v>2</v>
      </c>
      <c r="F98" s="210">
        <f>'I rok'!Z34</f>
        <v>0</v>
      </c>
      <c r="G98" s="210">
        <f>'I rok'!AA34</f>
        <v>2</v>
      </c>
      <c r="H98" s="210">
        <f>'I rok'!AB34</f>
        <v>0</v>
      </c>
      <c r="I98" s="210">
        <f>'I rok'!AC34</f>
        <v>0</v>
      </c>
      <c r="J98" s="210">
        <f>'I rok'!AD34</f>
        <v>2</v>
      </c>
      <c r="K98" s="210">
        <f>'I rok'!AE34</f>
        <v>0</v>
      </c>
    </row>
    <row r="99" spans="1:11" ht="15.75" customHeight="1">
      <c r="A99" s="6">
        <v>10.4</v>
      </c>
      <c r="B99" s="202" t="s">
        <v>30</v>
      </c>
      <c r="C99" s="17" t="str">
        <f>"0912-7LEK-A"&amp;A99&amp;"-"&amp;UPPER(LEFT(B99,1))&amp;"HP"</f>
        <v>0912-7LEK-A10.4-BHP</v>
      </c>
      <c r="D99" s="209" t="s">
        <v>241</v>
      </c>
      <c r="E99" s="210">
        <f t="shared" si="19"/>
        <v>5</v>
      </c>
      <c r="F99" s="210">
        <f>'I rok'!Z35</f>
        <v>5</v>
      </c>
      <c r="G99" s="210">
        <f>'I rok'!AA35</f>
        <v>0</v>
      </c>
      <c r="H99" s="210">
        <f>'I rok'!AB35</f>
        <v>0</v>
      </c>
      <c r="I99" s="210">
        <f>'I rok'!AC35</f>
        <v>0</v>
      </c>
      <c r="J99" s="210">
        <f>'I rok'!AD35</f>
        <v>5</v>
      </c>
      <c r="K99" s="210">
        <f>'I rok'!AE35</f>
        <v>0</v>
      </c>
    </row>
    <row r="100" spans="1:11" ht="18.75" customHeight="1">
      <c r="A100" s="6">
        <v>10.5</v>
      </c>
      <c r="B100" s="202" t="s">
        <v>109</v>
      </c>
      <c r="C100" s="17" t="str">
        <f>"0912-7LEK-A"&amp;A100&amp;"-"&amp;UPPER(LEFT(B100,1))&amp;"F"</f>
        <v>0912-7LEK-A10.5-WF</v>
      </c>
      <c r="D100" s="209" t="s">
        <v>123</v>
      </c>
      <c r="E100" s="210" t="e">
        <f t="shared" si="19"/>
        <v>#REF!</v>
      </c>
      <c r="F100" s="210">
        <v>0</v>
      </c>
      <c r="G100" s="210" t="e">
        <f>'I rok'!AA36+'II rok'!AA36+'III rok'!AA31+'IV rok'!AA30+'V rok'!AA41+#REF!</f>
        <v>#REF!</v>
      </c>
      <c r="H100" s="210">
        <v>0</v>
      </c>
      <c r="I100" s="210">
        <v>0</v>
      </c>
      <c r="J100" s="210" t="e">
        <f>'I rok'!AD36+'II rok'!AD36+'III rok'!AD31+'IV rok'!AD30+'V rok'!AD41+#REF!</f>
        <v>#REF!</v>
      </c>
      <c r="K100" s="210" t="e">
        <f>'I rok'!AE36+'II rok'!AE36+'III rok'!AE31+'IV rok'!AE30+'V rok'!AE41+#REF!</f>
        <v>#REF!</v>
      </c>
    </row>
    <row r="101" spans="1:11">
      <c r="A101" s="713">
        <v>10.6</v>
      </c>
      <c r="B101" s="707" t="s">
        <v>122</v>
      </c>
      <c r="C101" s="708"/>
      <c r="D101" s="209" t="s">
        <v>243</v>
      </c>
      <c r="E101" s="210">
        <f t="shared" si="19"/>
        <v>25</v>
      </c>
      <c r="F101" s="210">
        <v>0</v>
      </c>
      <c r="G101" s="210">
        <f>'II rok'!AA37</f>
        <v>25</v>
      </c>
      <c r="H101" s="210">
        <v>0</v>
      </c>
      <c r="I101" s="210">
        <v>0</v>
      </c>
      <c r="J101" s="210">
        <f>'II rok'!AD37</f>
        <v>50</v>
      </c>
      <c r="K101" s="210">
        <f>'II rok'!AE37</f>
        <v>2</v>
      </c>
    </row>
    <row r="102" spans="1:11">
      <c r="A102" s="714"/>
      <c r="B102" s="709"/>
      <c r="C102" s="710"/>
      <c r="D102" s="209" t="s">
        <v>143</v>
      </c>
      <c r="E102" s="210">
        <f t="shared" si="19"/>
        <v>25</v>
      </c>
      <c r="F102" s="210">
        <v>0</v>
      </c>
      <c r="G102" s="210">
        <f>'II rok'!AA38</f>
        <v>25</v>
      </c>
      <c r="H102" s="210">
        <v>0</v>
      </c>
      <c r="I102" s="210">
        <v>0</v>
      </c>
      <c r="J102" s="210">
        <f>'II rok'!AD38</f>
        <v>50</v>
      </c>
      <c r="K102" s="210">
        <f>'II rok'!AE38</f>
        <v>2</v>
      </c>
    </row>
    <row r="103" spans="1:11">
      <c r="A103" s="706" t="s">
        <v>9</v>
      </c>
      <c r="B103" s="706"/>
      <c r="C103" s="261"/>
      <c r="D103" s="211"/>
      <c r="E103" s="214" t="e">
        <f>SUM(E96:E102)</f>
        <v>#REF!</v>
      </c>
      <c r="F103" s="214">
        <f>SUM(F96:F102)</f>
        <v>5</v>
      </c>
      <c r="G103" s="214" t="e">
        <f>SUM(G96:G102)</f>
        <v>#REF!</v>
      </c>
      <c r="H103" s="214">
        <v>0</v>
      </c>
      <c r="I103" s="214" t="e">
        <f>SUM(I35:I100)</f>
        <v>#REF!</v>
      </c>
      <c r="J103" s="214" t="e">
        <f>SUM(J96:J102)</f>
        <v>#REF!</v>
      </c>
      <c r="K103" s="214" t="e">
        <f>SUM(K96:K102)</f>
        <v>#REF!</v>
      </c>
    </row>
    <row r="104" spans="1:11">
      <c r="A104" s="693" t="s">
        <v>312</v>
      </c>
      <c r="B104" s="694"/>
      <c r="C104" s="694"/>
      <c r="D104" s="694"/>
      <c r="E104" s="694"/>
      <c r="F104" s="694"/>
      <c r="G104" s="694"/>
      <c r="H104" s="694"/>
      <c r="I104" s="694"/>
      <c r="J104" s="694"/>
      <c r="K104" s="695"/>
    </row>
    <row r="105" spans="1:11" ht="15.75">
      <c r="A105" s="253">
        <v>1</v>
      </c>
      <c r="B105" s="208" t="s">
        <v>118</v>
      </c>
      <c r="C105" s="17"/>
      <c r="D105" s="209" t="s">
        <v>241</v>
      </c>
      <c r="E105" s="210">
        <f>SUM(F105:I105)</f>
        <v>15</v>
      </c>
      <c r="F105" s="210">
        <f>'I rok'!Z39</f>
        <v>15</v>
      </c>
      <c r="G105" s="210">
        <f>'I rok'!AA39</f>
        <v>0</v>
      </c>
      <c r="H105" s="210">
        <f>'I rok'!AB39</f>
        <v>0</v>
      </c>
      <c r="I105" s="210">
        <f>'I rok'!AC39</f>
        <v>0</v>
      </c>
      <c r="J105" s="210">
        <f>'I rok'!AD39</f>
        <v>25</v>
      </c>
      <c r="K105" s="210">
        <f>'I rok'!AE39</f>
        <v>1</v>
      </c>
    </row>
    <row r="106" spans="1:11" ht="15.75">
      <c r="A106" s="253">
        <v>2</v>
      </c>
      <c r="B106" s="208" t="s">
        <v>118</v>
      </c>
      <c r="C106" s="17"/>
      <c r="D106" s="209" t="s">
        <v>242</v>
      </c>
      <c r="E106" s="210">
        <f t="shared" ref="E106:E127" si="20">SUM(F106:I106)</f>
        <v>15</v>
      </c>
      <c r="F106" s="210">
        <f>'I rok'!Z40</f>
        <v>15</v>
      </c>
      <c r="G106" s="210">
        <f>'I rok'!AA40</f>
        <v>0</v>
      </c>
      <c r="H106" s="210">
        <f>'I rok'!AB40</f>
        <v>0</v>
      </c>
      <c r="I106" s="210">
        <f>'I rok'!AC40</f>
        <v>0</v>
      </c>
      <c r="J106" s="210">
        <f>'I rok'!AD40</f>
        <v>25</v>
      </c>
      <c r="K106" s="210">
        <f>'I rok'!AE40</f>
        <v>1</v>
      </c>
    </row>
    <row r="107" spans="1:11" ht="15.75">
      <c r="A107" s="253">
        <v>3</v>
      </c>
      <c r="B107" s="208" t="s">
        <v>118</v>
      </c>
      <c r="C107" s="17"/>
      <c r="D107" s="209" t="s">
        <v>242</v>
      </c>
      <c r="E107" s="210">
        <f t="shared" si="20"/>
        <v>15</v>
      </c>
      <c r="F107" s="210">
        <f>'I rok'!Z41</f>
        <v>15</v>
      </c>
      <c r="G107" s="210">
        <f>'I rok'!AA41</f>
        <v>0</v>
      </c>
      <c r="H107" s="210">
        <f>'I rok'!AB41</f>
        <v>0</v>
      </c>
      <c r="I107" s="210">
        <f>'I rok'!AC41</f>
        <v>0</v>
      </c>
      <c r="J107" s="210">
        <f>'I rok'!AD41</f>
        <v>25</v>
      </c>
      <c r="K107" s="210">
        <f>'I rok'!AE41</f>
        <v>1</v>
      </c>
    </row>
    <row r="108" spans="1:11" ht="15.75">
      <c r="A108" s="253">
        <v>4</v>
      </c>
      <c r="B108" s="208" t="s">
        <v>118</v>
      </c>
      <c r="C108" s="17"/>
      <c r="D108" s="209" t="s">
        <v>242</v>
      </c>
      <c r="E108" s="210">
        <f t="shared" si="20"/>
        <v>15</v>
      </c>
      <c r="F108" s="210">
        <f>'I rok'!Z42</f>
        <v>15</v>
      </c>
      <c r="G108" s="210">
        <f>'I rok'!AA42</f>
        <v>0</v>
      </c>
      <c r="H108" s="210">
        <f>'I rok'!AB42</f>
        <v>0</v>
      </c>
      <c r="I108" s="210">
        <f>'I rok'!AC42</f>
        <v>0</v>
      </c>
      <c r="J108" s="210">
        <f>'I rok'!AD42</f>
        <v>25</v>
      </c>
      <c r="K108" s="210">
        <f>'I rok'!AE42</f>
        <v>1</v>
      </c>
    </row>
    <row r="109" spans="1:11" ht="15.75">
      <c r="A109" s="253">
        <v>5</v>
      </c>
      <c r="B109" s="208" t="s">
        <v>118</v>
      </c>
      <c r="C109" s="17"/>
      <c r="D109" s="209" t="s">
        <v>243</v>
      </c>
      <c r="E109" s="210">
        <f t="shared" si="20"/>
        <v>15</v>
      </c>
      <c r="F109" s="210">
        <f>'II rok'!Z41</f>
        <v>15</v>
      </c>
      <c r="G109" s="210">
        <f>'II rok'!AA41</f>
        <v>0</v>
      </c>
      <c r="H109" s="210">
        <f>'II rok'!AB41</f>
        <v>0</v>
      </c>
      <c r="I109" s="210">
        <f>'II rok'!AC41</f>
        <v>0</v>
      </c>
      <c r="J109" s="210">
        <f>'II rok'!AD41</f>
        <v>25</v>
      </c>
      <c r="K109" s="210">
        <f>'II rok'!AE41</f>
        <v>1</v>
      </c>
    </row>
    <row r="110" spans="1:11" ht="15.75">
      <c r="A110" s="253">
        <v>6</v>
      </c>
      <c r="B110" s="208" t="s">
        <v>118</v>
      </c>
      <c r="C110" s="17"/>
      <c r="D110" s="209" t="s">
        <v>243</v>
      </c>
      <c r="E110" s="210">
        <f t="shared" si="20"/>
        <v>15</v>
      </c>
      <c r="F110" s="210">
        <f>'II rok'!Z42</f>
        <v>15</v>
      </c>
      <c r="G110" s="210">
        <f>'II rok'!AA42</f>
        <v>0</v>
      </c>
      <c r="H110" s="210">
        <f>'II rok'!AB42</f>
        <v>0</v>
      </c>
      <c r="I110" s="210">
        <f>'II rok'!AC42</f>
        <v>0</v>
      </c>
      <c r="J110" s="210">
        <f>'II rok'!AD42</f>
        <v>25</v>
      </c>
      <c r="K110" s="210">
        <f>'II rok'!AE42</f>
        <v>1</v>
      </c>
    </row>
    <row r="111" spans="1:11" ht="15.75">
      <c r="A111" s="253">
        <v>7</v>
      </c>
      <c r="B111" s="208" t="s">
        <v>118</v>
      </c>
      <c r="C111" s="17"/>
      <c r="D111" s="209" t="s">
        <v>143</v>
      </c>
      <c r="E111" s="210">
        <f t="shared" si="20"/>
        <v>15</v>
      </c>
      <c r="F111" s="210">
        <f>'II rok'!Z43</f>
        <v>15</v>
      </c>
      <c r="G111" s="210">
        <f>'II rok'!AA43</f>
        <v>0</v>
      </c>
      <c r="H111" s="210">
        <f>'II rok'!AB43</f>
        <v>0</v>
      </c>
      <c r="I111" s="210">
        <f>'II rok'!AC43</f>
        <v>0</v>
      </c>
      <c r="J111" s="210">
        <f>'II rok'!AD43</f>
        <v>25</v>
      </c>
      <c r="K111" s="210">
        <f>'II rok'!AE43</f>
        <v>1</v>
      </c>
    </row>
    <row r="112" spans="1:11" ht="15.75">
      <c r="A112" s="253">
        <v>8</v>
      </c>
      <c r="B112" s="208" t="s">
        <v>118</v>
      </c>
      <c r="C112" s="17"/>
      <c r="D112" s="209" t="s">
        <v>143</v>
      </c>
      <c r="E112" s="210">
        <f t="shared" si="20"/>
        <v>15</v>
      </c>
      <c r="F112" s="210">
        <f>'II rok'!Z44</f>
        <v>15</v>
      </c>
      <c r="G112" s="210">
        <f>'II rok'!AA44</f>
        <v>0</v>
      </c>
      <c r="H112" s="210">
        <f>'II rok'!AB44</f>
        <v>0</v>
      </c>
      <c r="I112" s="210">
        <f>'II rok'!AC44</f>
        <v>0</v>
      </c>
      <c r="J112" s="210">
        <f>'II rok'!AD44</f>
        <v>25</v>
      </c>
      <c r="K112" s="210">
        <f>'II rok'!AE44</f>
        <v>1</v>
      </c>
    </row>
    <row r="113" spans="1:22" ht="15.75">
      <c r="A113" s="253">
        <v>9</v>
      </c>
      <c r="B113" s="208" t="s">
        <v>118</v>
      </c>
      <c r="C113" s="17"/>
      <c r="D113" s="209" t="s">
        <v>145</v>
      </c>
      <c r="E113" s="210">
        <f t="shared" si="20"/>
        <v>15</v>
      </c>
      <c r="F113" s="210">
        <f>'III rok'!Z34</f>
        <v>15</v>
      </c>
      <c r="G113" s="210">
        <f>'III rok'!AA34</f>
        <v>0</v>
      </c>
      <c r="H113" s="210">
        <f>'III rok'!AB34</f>
        <v>0</v>
      </c>
      <c r="I113" s="210">
        <f>'III rok'!AC34</f>
        <v>0</v>
      </c>
      <c r="J113" s="210">
        <f>'III rok'!AD34</f>
        <v>25</v>
      </c>
      <c r="K113" s="210">
        <f>'III rok'!AE34</f>
        <v>1</v>
      </c>
    </row>
    <row r="114" spans="1:22" ht="15.75">
      <c r="A114" s="253">
        <v>10</v>
      </c>
      <c r="B114" s="208" t="s">
        <v>118</v>
      </c>
      <c r="C114" s="17"/>
      <c r="D114" s="209" t="s">
        <v>145</v>
      </c>
      <c r="E114" s="210">
        <f t="shared" si="20"/>
        <v>15</v>
      </c>
      <c r="F114" s="210">
        <f>'III rok'!Z35</f>
        <v>15</v>
      </c>
      <c r="G114" s="210">
        <f>'III rok'!AA35</f>
        <v>0</v>
      </c>
      <c r="H114" s="210">
        <f>'III rok'!AB35</f>
        <v>0</v>
      </c>
      <c r="I114" s="210">
        <f>'III rok'!AC35</f>
        <v>0</v>
      </c>
      <c r="J114" s="210">
        <f>'III rok'!AD35</f>
        <v>25</v>
      </c>
      <c r="K114" s="210">
        <f>'III rok'!AE35</f>
        <v>1</v>
      </c>
    </row>
    <row r="115" spans="1:22" ht="15.75">
      <c r="A115" s="253">
        <v>11</v>
      </c>
      <c r="B115" s="208" t="s">
        <v>118</v>
      </c>
      <c r="C115" s="17"/>
      <c r="D115" s="209" t="s">
        <v>145</v>
      </c>
      <c r="E115" s="210">
        <f t="shared" si="20"/>
        <v>15</v>
      </c>
      <c r="F115" s="210">
        <f>'III rok'!Z36</f>
        <v>0</v>
      </c>
      <c r="G115" s="210">
        <f>'III rok'!AA36</f>
        <v>15</v>
      </c>
      <c r="H115" s="210">
        <f>'III rok'!AB36</f>
        <v>0</v>
      </c>
      <c r="I115" s="210">
        <f>'III rok'!AC36</f>
        <v>0</v>
      </c>
      <c r="J115" s="210">
        <f>'III rok'!AD36</f>
        <v>25</v>
      </c>
      <c r="K115" s="210">
        <f>'III rok'!AE36</f>
        <v>1</v>
      </c>
    </row>
    <row r="116" spans="1:22" ht="15.75">
      <c r="A116" s="253">
        <v>12</v>
      </c>
      <c r="B116" s="208" t="s">
        <v>118</v>
      </c>
      <c r="C116" s="17"/>
      <c r="D116" s="209" t="s">
        <v>146</v>
      </c>
      <c r="E116" s="210">
        <f t="shared" si="20"/>
        <v>15</v>
      </c>
      <c r="F116" s="210">
        <f>'III rok'!Z37</f>
        <v>15</v>
      </c>
      <c r="G116" s="210">
        <f>'III rok'!AA37</f>
        <v>0</v>
      </c>
      <c r="H116" s="210">
        <f>'III rok'!AB37</f>
        <v>0</v>
      </c>
      <c r="I116" s="210">
        <f>'III rok'!AC37</f>
        <v>0</v>
      </c>
      <c r="J116" s="210">
        <f>'III rok'!AD37</f>
        <v>25</v>
      </c>
      <c r="K116" s="210">
        <f>'III rok'!AE37</f>
        <v>1</v>
      </c>
    </row>
    <row r="117" spans="1:22" ht="15.75">
      <c r="A117" s="253">
        <v>13</v>
      </c>
      <c r="B117" s="208" t="s">
        <v>118</v>
      </c>
      <c r="C117" s="17"/>
      <c r="D117" s="209" t="s">
        <v>146</v>
      </c>
      <c r="E117" s="210">
        <f t="shared" si="20"/>
        <v>15</v>
      </c>
      <c r="F117" s="210">
        <f>'III rok'!Z38</f>
        <v>15</v>
      </c>
      <c r="G117" s="210">
        <f>'III rok'!AA38</f>
        <v>0</v>
      </c>
      <c r="H117" s="210">
        <f>'III rok'!AB38</f>
        <v>0</v>
      </c>
      <c r="I117" s="210">
        <f>'III rok'!AC38</f>
        <v>0</v>
      </c>
      <c r="J117" s="210">
        <f>'III rok'!AD38</f>
        <v>25</v>
      </c>
      <c r="K117" s="210">
        <f>'III rok'!AE38</f>
        <v>1</v>
      </c>
    </row>
    <row r="118" spans="1:22" ht="15.75">
      <c r="A118" s="253">
        <v>14</v>
      </c>
      <c r="B118" s="208" t="s">
        <v>118</v>
      </c>
      <c r="C118" s="17"/>
      <c r="D118" s="209" t="s">
        <v>147</v>
      </c>
      <c r="E118" s="210">
        <f t="shared" si="20"/>
        <v>15</v>
      </c>
      <c r="F118" s="210">
        <f>'IV rok'!Z33</f>
        <v>15</v>
      </c>
      <c r="G118" s="210">
        <f>'IV rok'!AA33</f>
        <v>0</v>
      </c>
      <c r="H118" s="210">
        <f>'IV rok'!AB33</f>
        <v>0</v>
      </c>
      <c r="I118" s="210">
        <f>'IV rok'!AC33</f>
        <v>0</v>
      </c>
      <c r="J118" s="210">
        <f>'IV rok'!AD33</f>
        <v>25</v>
      </c>
      <c r="K118" s="210">
        <f>'IV rok'!AE33</f>
        <v>1</v>
      </c>
    </row>
    <row r="119" spans="1:22" ht="15.75">
      <c r="A119" s="253">
        <v>15</v>
      </c>
      <c r="B119" s="208" t="s">
        <v>118</v>
      </c>
      <c r="C119" s="17"/>
      <c r="D119" s="209" t="s">
        <v>147</v>
      </c>
      <c r="E119" s="210">
        <f t="shared" si="20"/>
        <v>15</v>
      </c>
      <c r="F119" s="210">
        <f>'IV rok'!Z34</f>
        <v>15</v>
      </c>
      <c r="G119" s="210">
        <f>'IV rok'!AA34</f>
        <v>0</v>
      </c>
      <c r="H119" s="210">
        <f>'IV rok'!AB34</f>
        <v>0</v>
      </c>
      <c r="I119" s="210">
        <f>'IV rok'!AC34</f>
        <v>0</v>
      </c>
      <c r="J119" s="210">
        <f>'IV rok'!AD34</f>
        <v>25</v>
      </c>
      <c r="K119" s="210">
        <f>'IV rok'!AE34</f>
        <v>1</v>
      </c>
    </row>
    <row r="120" spans="1:22" ht="15.75">
      <c r="A120" s="253">
        <v>16</v>
      </c>
      <c r="B120" s="208" t="s">
        <v>118</v>
      </c>
      <c r="C120" s="17"/>
      <c r="D120" s="209" t="s">
        <v>147</v>
      </c>
      <c r="E120" s="210">
        <f t="shared" si="20"/>
        <v>15</v>
      </c>
      <c r="F120" s="210">
        <f>'IV rok'!Z35</f>
        <v>15</v>
      </c>
      <c r="G120" s="210">
        <f>'IV rok'!AA35</f>
        <v>0</v>
      </c>
      <c r="H120" s="210">
        <f>'IV rok'!AB35</f>
        <v>0</v>
      </c>
      <c r="I120" s="210">
        <f>'IV rok'!AC35</f>
        <v>0</v>
      </c>
      <c r="J120" s="210">
        <f>'IV rok'!AD35</f>
        <v>25</v>
      </c>
      <c r="K120" s="210">
        <f>'IV rok'!AE35</f>
        <v>1</v>
      </c>
      <c r="V120" s="231"/>
    </row>
    <row r="121" spans="1:22" ht="15.75">
      <c r="A121" s="253">
        <v>17</v>
      </c>
      <c r="B121" s="208" t="s">
        <v>118</v>
      </c>
      <c r="C121" s="17"/>
      <c r="D121" s="209" t="s">
        <v>144</v>
      </c>
      <c r="E121" s="210">
        <f t="shared" si="20"/>
        <v>15</v>
      </c>
      <c r="F121" s="210">
        <f>'IV rok'!Z36</f>
        <v>15</v>
      </c>
      <c r="G121" s="210">
        <f>'IV rok'!AA36</f>
        <v>0</v>
      </c>
      <c r="H121" s="210">
        <f>'IV rok'!AB36</f>
        <v>0</v>
      </c>
      <c r="I121" s="210">
        <f>'IV rok'!AC36</f>
        <v>0</v>
      </c>
      <c r="J121" s="210">
        <f>'IV rok'!AD36</f>
        <v>25</v>
      </c>
      <c r="K121" s="210">
        <f>'IV rok'!AE36</f>
        <v>1</v>
      </c>
      <c r="V121" s="231"/>
    </row>
    <row r="122" spans="1:22" ht="15.75">
      <c r="A122" s="253">
        <v>18</v>
      </c>
      <c r="B122" s="208" t="s">
        <v>118</v>
      </c>
      <c r="C122" s="17"/>
      <c r="D122" s="209" t="s">
        <v>144</v>
      </c>
      <c r="E122" s="210">
        <f t="shared" si="20"/>
        <v>15</v>
      </c>
      <c r="F122" s="210">
        <f>'IV rok'!Z37</f>
        <v>15</v>
      </c>
      <c r="G122" s="210">
        <f>'IV rok'!AA37</f>
        <v>0</v>
      </c>
      <c r="H122" s="210">
        <f>'IV rok'!AB37</f>
        <v>0</v>
      </c>
      <c r="I122" s="210">
        <f>'IV rok'!AC37</f>
        <v>0</v>
      </c>
      <c r="J122" s="210">
        <f>'IV rok'!AD37</f>
        <v>25</v>
      </c>
      <c r="K122" s="210">
        <f>'IV rok'!AE37</f>
        <v>1</v>
      </c>
      <c r="V122" s="231"/>
    </row>
    <row r="123" spans="1:22" ht="15.75">
      <c r="A123" s="253">
        <v>19</v>
      </c>
      <c r="B123" s="208" t="s">
        <v>118</v>
      </c>
      <c r="C123" s="17"/>
      <c r="D123" s="209" t="s">
        <v>144</v>
      </c>
      <c r="E123" s="210">
        <f t="shared" si="20"/>
        <v>15</v>
      </c>
      <c r="F123" s="210">
        <f>'IV rok'!Z38</f>
        <v>15</v>
      </c>
      <c r="G123" s="210">
        <f>'IV rok'!AA38</f>
        <v>0</v>
      </c>
      <c r="H123" s="210">
        <f>'IV rok'!AB38</f>
        <v>0</v>
      </c>
      <c r="I123" s="210">
        <f>'IV rok'!AC38</f>
        <v>0</v>
      </c>
      <c r="J123" s="210">
        <f>'IV rok'!AD38</f>
        <v>25</v>
      </c>
      <c r="K123" s="210">
        <f>'IV rok'!AE38</f>
        <v>1</v>
      </c>
      <c r="V123" s="231"/>
    </row>
    <row r="124" spans="1:22" ht="15.75">
      <c r="A124" s="253">
        <v>20</v>
      </c>
      <c r="B124" s="208" t="s">
        <v>118</v>
      </c>
      <c r="C124" s="17"/>
      <c r="D124" s="209" t="s">
        <v>129</v>
      </c>
      <c r="E124" s="210">
        <f t="shared" si="20"/>
        <v>25</v>
      </c>
      <c r="F124" s="210">
        <f>'V rok'!Z44</f>
        <v>10</v>
      </c>
      <c r="G124" s="210">
        <f>'V rok'!AA44</f>
        <v>15</v>
      </c>
      <c r="H124" s="210">
        <f>'V rok'!AB44</f>
        <v>0</v>
      </c>
      <c r="I124" s="210">
        <f>'V rok'!AC44</f>
        <v>0</v>
      </c>
      <c r="J124" s="210">
        <f>'V rok'!AD44</f>
        <v>50</v>
      </c>
      <c r="K124" s="210">
        <f>'V rok'!AE44</f>
        <v>2</v>
      </c>
      <c r="V124" s="212"/>
    </row>
    <row r="125" spans="1:22" ht="15" customHeight="1">
      <c r="A125" s="253">
        <v>21</v>
      </c>
      <c r="B125" s="208" t="s">
        <v>118</v>
      </c>
      <c r="C125" s="17"/>
      <c r="D125" s="209" t="s">
        <v>129</v>
      </c>
      <c r="E125" s="210">
        <f t="shared" si="20"/>
        <v>15</v>
      </c>
      <c r="F125" s="210">
        <f>'V rok'!Z45</f>
        <v>0</v>
      </c>
      <c r="G125" s="210">
        <f>'V rok'!AA45</f>
        <v>15</v>
      </c>
      <c r="H125" s="210">
        <f>'V rok'!AB45</f>
        <v>0</v>
      </c>
      <c r="I125" s="210">
        <f>'V rok'!AC45</f>
        <v>0</v>
      </c>
      <c r="J125" s="210">
        <f>'V rok'!AD45</f>
        <v>25</v>
      </c>
      <c r="K125" s="210">
        <f>'V rok'!AE45</f>
        <v>1</v>
      </c>
    </row>
    <row r="126" spans="1:22" ht="15" customHeight="1">
      <c r="A126" s="253">
        <v>22</v>
      </c>
      <c r="B126" s="208" t="s">
        <v>118</v>
      </c>
      <c r="C126" s="17"/>
      <c r="D126" s="209" t="s">
        <v>132</v>
      </c>
      <c r="E126" s="210">
        <f t="shared" si="20"/>
        <v>15</v>
      </c>
      <c r="F126" s="210">
        <f>'V rok'!Z46</f>
        <v>15</v>
      </c>
      <c r="G126" s="210">
        <f>'V rok'!AA46</f>
        <v>0</v>
      </c>
      <c r="H126" s="210">
        <f>'V rok'!AB46</f>
        <v>0</v>
      </c>
      <c r="I126" s="210">
        <f>'V rok'!AC46</f>
        <v>0</v>
      </c>
      <c r="J126" s="210">
        <f>'V rok'!AD46</f>
        <v>25</v>
      </c>
      <c r="K126" s="210">
        <f>'V rok'!AE46</f>
        <v>1</v>
      </c>
    </row>
    <row r="127" spans="1:22" ht="55.5" customHeight="1">
      <c r="A127" s="253">
        <v>23</v>
      </c>
      <c r="B127" s="474" t="s">
        <v>356</v>
      </c>
      <c r="C127" s="208"/>
      <c r="D127" s="209" t="s">
        <v>253</v>
      </c>
      <c r="E127" s="210" t="e">
        <f t="shared" si="20"/>
        <v>#REF!</v>
      </c>
      <c r="F127" s="210" t="e">
        <f>'V rok'!Z47+#REF!</f>
        <v>#REF!</v>
      </c>
      <c r="G127" s="210" t="e">
        <f>'V rok'!AA47+#REF!</f>
        <v>#REF!</v>
      </c>
      <c r="H127" s="210" t="e">
        <f>'V rok'!AB47+#REF!</f>
        <v>#REF!</v>
      </c>
      <c r="I127" s="210" t="e">
        <f>'V rok'!AC47+#REF!</f>
        <v>#REF!</v>
      </c>
      <c r="J127" s="210" t="e">
        <f>'V rok'!AD47+#REF!</f>
        <v>#REF!</v>
      </c>
      <c r="K127" s="210" t="e">
        <f>'V rok'!AE47+#REF!</f>
        <v>#REF!</v>
      </c>
    </row>
    <row r="128" spans="1:22" ht="15" customHeight="1">
      <c r="A128" s="703" t="s">
        <v>9</v>
      </c>
      <c r="B128" s="704"/>
      <c r="C128" s="704"/>
      <c r="D128" s="705"/>
      <c r="E128" s="214" t="e">
        <f t="shared" ref="E128:K128" si="21">SUM(E105:E127)</f>
        <v>#REF!</v>
      </c>
      <c r="F128" s="214" t="e">
        <f t="shared" si="21"/>
        <v>#REF!</v>
      </c>
      <c r="G128" s="214" t="e">
        <f t="shared" si="21"/>
        <v>#REF!</v>
      </c>
      <c r="H128" s="214" t="e">
        <f t="shared" si="21"/>
        <v>#REF!</v>
      </c>
      <c r="I128" s="214" t="e">
        <f t="shared" si="21"/>
        <v>#REF!</v>
      </c>
      <c r="J128" s="214" t="e">
        <f t="shared" si="21"/>
        <v>#REF!</v>
      </c>
      <c r="K128" s="214" t="e">
        <f t="shared" si="21"/>
        <v>#REF!</v>
      </c>
    </row>
    <row r="129" spans="1:11" ht="26.25" customHeight="1">
      <c r="A129" s="697" t="s">
        <v>237</v>
      </c>
      <c r="B129" s="698"/>
      <c r="C129" s="698"/>
      <c r="D129" s="699"/>
      <c r="E129" s="276" t="e">
        <f>E8+E19+E28+E37+E52+E67+E74+E84+E94+E103+E128</f>
        <v>#REF!</v>
      </c>
      <c r="F129" s="276" t="e">
        <f t="shared" ref="F129:K129" si="22">F8+F19+F28+F37+F52+F67+F74+F84+F94+F103+F128</f>
        <v>#REF!</v>
      </c>
      <c r="G129" s="276" t="e">
        <f t="shared" si="22"/>
        <v>#REF!</v>
      </c>
      <c r="H129" s="276" t="e">
        <f t="shared" si="22"/>
        <v>#REF!</v>
      </c>
      <c r="I129" s="276" t="e">
        <f t="shared" si="22"/>
        <v>#REF!</v>
      </c>
      <c r="J129" s="276" t="e">
        <f t="shared" si="22"/>
        <v>#REF!</v>
      </c>
      <c r="K129" s="276" t="e">
        <f t="shared" si="22"/>
        <v>#REF!</v>
      </c>
    </row>
    <row r="137" spans="1:11">
      <c r="C137" s="390" t="s">
        <v>126</v>
      </c>
    </row>
    <row r="140" spans="1:11">
      <c r="C140" s="405"/>
    </row>
  </sheetData>
  <mergeCells count="31">
    <mergeCell ref="U13:AY13"/>
    <mergeCell ref="A95:K95"/>
    <mergeCell ref="A28:D28"/>
    <mergeCell ref="A1:K1"/>
    <mergeCell ref="A2:B2"/>
    <mergeCell ref="A3:B3"/>
    <mergeCell ref="A8:D8"/>
    <mergeCell ref="A9:K9"/>
    <mergeCell ref="U14:V14"/>
    <mergeCell ref="AB14:AJ14"/>
    <mergeCell ref="U15:V15"/>
    <mergeCell ref="A19:D19"/>
    <mergeCell ref="A20:K20"/>
    <mergeCell ref="A94:B94"/>
    <mergeCell ref="A29:K29"/>
    <mergeCell ref="A37:D37"/>
    <mergeCell ref="A38:K38"/>
    <mergeCell ref="A52:D52"/>
    <mergeCell ref="A53:K53"/>
    <mergeCell ref="A67:D67"/>
    <mergeCell ref="A68:K68"/>
    <mergeCell ref="A74:D74"/>
    <mergeCell ref="A75:K75"/>
    <mergeCell ref="A84:D84"/>
    <mergeCell ref="A85:K85"/>
    <mergeCell ref="A128:D128"/>
    <mergeCell ref="A129:D129"/>
    <mergeCell ref="A101:A102"/>
    <mergeCell ref="B101:C102"/>
    <mergeCell ref="A103:B103"/>
    <mergeCell ref="A104:K104"/>
  </mergeCells>
  <pageMargins left="0.25" right="0.25" top="0.75" bottom="0.75" header="0.3" footer="0.3"/>
  <pageSetup paperSize="9" scale="74" fitToHeight="0" orientation="portrait" r:id="rId1"/>
  <rowBreaks count="2" manualBreakCount="2">
    <brk id="37" max="10" man="1"/>
    <brk id="94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5"/>
  <sheetViews>
    <sheetView zoomScale="70" zoomScaleNormal="70" workbookViewId="0">
      <pane ySplit="6" topLeftCell="A7" activePane="bottomLeft" state="frozen"/>
      <selection pane="bottomLeft" activeCell="C16" sqref="C16"/>
    </sheetView>
  </sheetViews>
  <sheetFormatPr defaultRowHeight="15"/>
  <cols>
    <col min="1" max="1" width="4" style="256" customWidth="1"/>
    <col min="2" max="2" width="3" style="231" bestFit="1" customWidth="1"/>
    <col min="3" max="3" width="58.42578125" style="226" customWidth="1"/>
    <col min="4" max="4" width="21.7109375" style="226" bestFit="1" customWidth="1"/>
    <col min="5" max="5" width="6.140625" style="231" customWidth="1"/>
    <col min="6" max="6" width="6.140625" style="250" customWidth="1"/>
    <col min="7" max="7" width="6.140625" style="231" customWidth="1"/>
    <col min="8" max="25" width="5.140625" style="231" customWidth="1"/>
    <col min="26" max="26" width="7" style="231" customWidth="1"/>
    <col min="27" max="30" width="6.140625" style="231" customWidth="1"/>
    <col min="31" max="31" width="9.140625" style="231" customWidth="1"/>
    <col min="32" max="32" width="7.140625" style="231" customWidth="1"/>
    <col min="33" max="16384" width="9.140625" style="226"/>
  </cols>
  <sheetData>
    <row r="1" spans="1:70" ht="76.5" customHeight="1" thickBot="1">
      <c r="A1" s="258"/>
      <c r="B1" s="291"/>
      <c r="C1" s="731" t="s">
        <v>270</v>
      </c>
      <c r="D1" s="731"/>
      <c r="E1" s="731"/>
      <c r="F1" s="731"/>
      <c r="G1" s="731"/>
      <c r="H1" s="731"/>
      <c r="I1" s="731"/>
      <c r="J1" s="731"/>
      <c r="K1" s="731"/>
      <c r="L1" s="731"/>
      <c r="M1" s="731"/>
      <c r="N1" s="731"/>
      <c r="O1" s="731"/>
      <c r="P1" s="731"/>
      <c r="Q1" s="731"/>
      <c r="R1" s="731"/>
      <c r="S1" s="731"/>
      <c r="T1" s="731"/>
      <c r="U1" s="731"/>
      <c r="V1" s="731"/>
      <c r="W1" s="731"/>
      <c r="X1" s="731"/>
      <c r="Y1" s="731"/>
      <c r="Z1" s="731"/>
      <c r="AA1" s="731"/>
      <c r="AB1" s="731"/>
      <c r="AC1" s="731"/>
      <c r="AD1" s="731"/>
      <c r="AE1" s="731"/>
      <c r="AF1" s="731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</row>
    <row r="2" spans="1:70" ht="18.75">
      <c r="B2" s="732"/>
      <c r="C2" s="733"/>
      <c r="D2" s="733"/>
      <c r="E2" s="733"/>
      <c r="F2" s="733"/>
      <c r="G2" s="734"/>
      <c r="H2" s="599" t="s">
        <v>103</v>
      </c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/>
      <c r="W2" s="599"/>
      <c r="X2" s="599"/>
      <c r="Y2" s="599"/>
      <c r="Z2" s="599"/>
      <c r="AA2" s="599"/>
      <c r="AB2" s="599"/>
      <c r="AC2" s="599"/>
      <c r="AD2" s="599"/>
      <c r="AE2" s="599"/>
      <c r="AF2" s="600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</row>
    <row r="3" spans="1:70" ht="13.5" customHeight="1">
      <c r="B3" s="583" t="s">
        <v>0</v>
      </c>
      <c r="C3" s="578" t="s">
        <v>4</v>
      </c>
      <c r="D3" s="578" t="s">
        <v>1</v>
      </c>
      <c r="E3" s="603" t="s">
        <v>8</v>
      </c>
      <c r="F3" s="603"/>
      <c r="G3" s="603"/>
      <c r="H3" s="729" t="s">
        <v>89</v>
      </c>
      <c r="I3" s="729"/>
      <c r="J3" s="729" t="s">
        <v>88</v>
      </c>
      <c r="K3" s="729"/>
      <c r="L3" s="729" t="s">
        <v>94</v>
      </c>
      <c r="M3" s="729"/>
      <c r="N3" s="729" t="s">
        <v>90</v>
      </c>
      <c r="O3" s="729"/>
      <c r="P3" s="727" t="s">
        <v>7</v>
      </c>
      <c r="Q3" s="730" t="s">
        <v>89</v>
      </c>
      <c r="R3" s="730"/>
      <c r="S3" s="730" t="s">
        <v>88</v>
      </c>
      <c r="T3" s="730"/>
      <c r="U3" s="730" t="s">
        <v>94</v>
      </c>
      <c r="V3" s="730"/>
      <c r="W3" s="730" t="s">
        <v>90</v>
      </c>
      <c r="X3" s="730"/>
      <c r="Y3" s="727" t="s">
        <v>7</v>
      </c>
      <c r="Z3" s="728" t="s">
        <v>5</v>
      </c>
      <c r="AA3" s="728" t="s">
        <v>89</v>
      </c>
      <c r="AB3" s="728" t="s">
        <v>88</v>
      </c>
      <c r="AC3" s="728" t="s">
        <v>94</v>
      </c>
      <c r="AD3" s="728" t="s">
        <v>90</v>
      </c>
      <c r="AE3" s="728" t="s">
        <v>14</v>
      </c>
      <c r="AF3" s="728" t="s">
        <v>6</v>
      </c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5"/>
    </row>
    <row r="4" spans="1:70" ht="13.5" customHeight="1">
      <c r="B4" s="583"/>
      <c r="C4" s="578"/>
      <c r="D4" s="578"/>
      <c r="E4" s="603"/>
      <c r="F4" s="603"/>
      <c r="G4" s="603"/>
      <c r="H4" s="729"/>
      <c r="I4" s="729"/>
      <c r="J4" s="729"/>
      <c r="K4" s="729"/>
      <c r="L4" s="729"/>
      <c r="M4" s="729"/>
      <c r="N4" s="729"/>
      <c r="O4" s="729"/>
      <c r="P4" s="727"/>
      <c r="Q4" s="730"/>
      <c r="R4" s="730"/>
      <c r="S4" s="730"/>
      <c r="T4" s="730"/>
      <c r="U4" s="730"/>
      <c r="V4" s="730"/>
      <c r="W4" s="730"/>
      <c r="X4" s="730"/>
      <c r="Y4" s="727"/>
      <c r="Z4" s="728"/>
      <c r="AA4" s="728"/>
      <c r="AB4" s="728"/>
      <c r="AC4" s="728"/>
      <c r="AD4" s="728"/>
      <c r="AE4" s="728"/>
      <c r="AF4" s="728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</row>
    <row r="5" spans="1:70" ht="18.75" customHeight="1">
      <c r="B5" s="583"/>
      <c r="C5" s="578"/>
      <c r="D5" s="578"/>
      <c r="E5" s="578" t="s">
        <v>2</v>
      </c>
      <c r="F5" s="578" t="s">
        <v>13</v>
      </c>
      <c r="G5" s="578" t="s">
        <v>12</v>
      </c>
      <c r="H5" s="729"/>
      <c r="I5" s="729"/>
      <c r="J5" s="729"/>
      <c r="K5" s="729"/>
      <c r="L5" s="729"/>
      <c r="M5" s="729"/>
      <c r="N5" s="729"/>
      <c r="O5" s="729"/>
      <c r="P5" s="727"/>
      <c r="Q5" s="730"/>
      <c r="R5" s="730"/>
      <c r="S5" s="730"/>
      <c r="T5" s="730"/>
      <c r="U5" s="730"/>
      <c r="V5" s="730"/>
      <c r="W5" s="730"/>
      <c r="X5" s="730"/>
      <c r="Y5" s="727"/>
      <c r="Z5" s="728"/>
      <c r="AA5" s="728"/>
      <c r="AB5" s="728"/>
      <c r="AC5" s="728"/>
      <c r="AD5" s="728"/>
      <c r="AE5" s="728"/>
      <c r="AF5" s="728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</row>
    <row r="6" spans="1:70" ht="45.75" customHeight="1">
      <c r="B6" s="583"/>
      <c r="C6" s="578"/>
      <c r="D6" s="578"/>
      <c r="E6" s="578"/>
      <c r="F6" s="578"/>
      <c r="G6" s="578"/>
      <c r="H6" s="234" t="s">
        <v>15</v>
      </c>
      <c r="I6" s="234" t="s">
        <v>16</v>
      </c>
      <c r="J6" s="234" t="s">
        <v>15</v>
      </c>
      <c r="K6" s="234" t="s">
        <v>16</v>
      </c>
      <c r="L6" s="234" t="s">
        <v>15</v>
      </c>
      <c r="M6" s="234" t="s">
        <v>16</v>
      </c>
      <c r="N6" s="234" t="s">
        <v>15</v>
      </c>
      <c r="O6" s="234" t="s">
        <v>16</v>
      </c>
      <c r="P6" s="727"/>
      <c r="Q6" s="234" t="s">
        <v>15</v>
      </c>
      <c r="R6" s="234" t="s">
        <v>16</v>
      </c>
      <c r="S6" s="234" t="s">
        <v>15</v>
      </c>
      <c r="T6" s="234" t="s">
        <v>16</v>
      </c>
      <c r="U6" s="234" t="s">
        <v>15</v>
      </c>
      <c r="V6" s="234" t="s">
        <v>16</v>
      </c>
      <c r="W6" s="234" t="s">
        <v>15</v>
      </c>
      <c r="X6" s="234" t="s">
        <v>16</v>
      </c>
      <c r="Y6" s="727"/>
      <c r="Z6" s="728"/>
      <c r="AA6" s="728"/>
      <c r="AB6" s="728"/>
      <c r="AC6" s="728"/>
      <c r="AD6" s="728"/>
      <c r="AE6" s="728"/>
      <c r="AF6" s="728"/>
    </row>
    <row r="7" spans="1:70" ht="24.75" customHeight="1">
      <c r="A7" s="721" t="s">
        <v>110</v>
      </c>
      <c r="B7" s="724" t="str">
        <f>'[3]I rok'!A46</f>
        <v>* Zajęcia fakultatywne (student w każdym semestrze wybiera 2 z 3)</v>
      </c>
      <c r="C7" s="725"/>
      <c r="D7" s="725"/>
      <c r="E7" s="725"/>
      <c r="F7" s="725"/>
      <c r="G7" s="725"/>
      <c r="H7" s="725"/>
      <c r="I7" s="725"/>
      <c r="J7" s="725"/>
      <c r="K7" s="725"/>
      <c r="L7" s="725"/>
      <c r="M7" s="725"/>
      <c r="N7" s="725"/>
      <c r="O7" s="725"/>
      <c r="P7" s="725"/>
      <c r="Q7" s="725"/>
      <c r="R7" s="725"/>
      <c r="S7" s="725"/>
      <c r="T7" s="725"/>
      <c r="U7" s="725"/>
      <c r="V7" s="725"/>
      <c r="W7" s="725"/>
      <c r="X7" s="725"/>
      <c r="Y7" s="725"/>
      <c r="Z7" s="725"/>
      <c r="AA7" s="725"/>
      <c r="AB7" s="725"/>
      <c r="AC7" s="725"/>
      <c r="AD7" s="725"/>
      <c r="AE7" s="725"/>
      <c r="AF7" s="726"/>
    </row>
    <row r="8" spans="1:70" ht="24.75" customHeight="1">
      <c r="A8" s="721"/>
      <c r="B8" s="210">
        <v>1</v>
      </c>
      <c r="C8" s="236" t="s">
        <v>114</v>
      </c>
      <c r="D8" s="237" t="str">
        <f>"0912-7LEK-F-"&amp;B8&amp;"-"&amp;UPPER(LEFT(C8,1))&amp;"HKN"</f>
        <v>0912-7LEK-F-1-ZHKN</v>
      </c>
      <c r="E8" s="238"/>
      <c r="F8" s="239">
        <v>1</v>
      </c>
      <c r="G8" s="240"/>
      <c r="H8" s="452">
        <v>15</v>
      </c>
      <c r="I8" s="210">
        <v>10</v>
      </c>
      <c r="J8" s="210"/>
      <c r="K8" s="210"/>
      <c r="L8" s="210"/>
      <c r="M8" s="210"/>
      <c r="N8" s="210"/>
      <c r="O8" s="210"/>
      <c r="P8" s="240">
        <v>1</v>
      </c>
      <c r="Q8" s="452"/>
      <c r="R8" s="210"/>
      <c r="S8" s="210"/>
      <c r="T8" s="210"/>
      <c r="U8" s="210"/>
      <c r="V8" s="210"/>
      <c r="W8" s="210"/>
      <c r="X8" s="210"/>
      <c r="Y8" s="240"/>
      <c r="Z8" s="452">
        <f>SUM(H8,J8,L8,N8,Q8,S8,U8,W8)</f>
        <v>15</v>
      </c>
      <c r="AA8" s="210">
        <f>SUM(H8,Q8)</f>
        <v>15</v>
      </c>
      <c r="AB8" s="210"/>
      <c r="AC8" s="210"/>
      <c r="AD8" s="210"/>
      <c r="AE8" s="210">
        <f>SUM(H8:O8,Q8:X8)</f>
        <v>25</v>
      </c>
      <c r="AF8" s="210">
        <f>SUM(P8,Y8)</f>
        <v>1</v>
      </c>
    </row>
    <row r="9" spans="1:70" ht="24.75" customHeight="1">
      <c r="A9" s="721"/>
      <c r="B9" s="210">
        <v>2</v>
      </c>
      <c r="C9" s="216" t="str">
        <f>'[3]I rok'!B49</f>
        <v>Aktywne składniki materii żywej</v>
      </c>
      <c r="D9" s="242" t="str">
        <f>'[3]I rok'!C49</f>
        <v>0912-7LEK-F-3-ASMŻ</v>
      </c>
      <c r="E9" s="238"/>
      <c r="F9" s="239">
        <f>'[3]I rok'!E49</f>
        <v>1</v>
      </c>
      <c r="G9" s="240"/>
      <c r="H9" s="452">
        <f>'[3]I rok'!G49</f>
        <v>15</v>
      </c>
      <c r="I9" s="210">
        <f>'[3]I rok'!H49</f>
        <v>10</v>
      </c>
      <c r="J9" s="210"/>
      <c r="K9" s="210"/>
      <c r="L9" s="210"/>
      <c r="M9" s="210"/>
      <c r="N9" s="210"/>
      <c r="O9" s="210"/>
      <c r="P9" s="240">
        <f>'[3]I rok'!O49</f>
        <v>1</v>
      </c>
      <c r="Q9" s="452"/>
      <c r="R9" s="210"/>
      <c r="S9" s="210"/>
      <c r="T9" s="210"/>
      <c r="U9" s="210"/>
      <c r="V9" s="210"/>
      <c r="W9" s="210"/>
      <c r="X9" s="210"/>
      <c r="Y9" s="240"/>
      <c r="Z9" s="452">
        <f>'[3]I rok'!Y49</f>
        <v>15</v>
      </c>
      <c r="AA9" s="210">
        <f>'[3]I rok'!Z49</f>
        <v>15</v>
      </c>
      <c r="AB9" s="210"/>
      <c r="AC9" s="210"/>
      <c r="AD9" s="210"/>
      <c r="AE9" s="210">
        <f>'[3]I rok'!AD49</f>
        <v>25</v>
      </c>
      <c r="AF9" s="210">
        <f>'[3]I rok'!AE49</f>
        <v>1</v>
      </c>
    </row>
    <row r="10" spans="1:70" ht="24.75" customHeight="1">
      <c r="A10" s="721"/>
      <c r="B10" s="210">
        <v>3</v>
      </c>
      <c r="C10" s="216" t="s">
        <v>125</v>
      </c>
      <c r="D10" s="242" t="s">
        <v>349</v>
      </c>
      <c r="E10" s="238"/>
      <c r="F10" s="239">
        <v>2</v>
      </c>
      <c r="G10" s="240"/>
      <c r="H10" s="466"/>
      <c r="I10" s="210"/>
      <c r="J10" s="210"/>
      <c r="K10" s="210"/>
      <c r="L10" s="210"/>
      <c r="M10" s="210"/>
      <c r="N10" s="210"/>
      <c r="O10" s="210"/>
      <c r="P10" s="240"/>
      <c r="Q10" s="466">
        <v>15</v>
      </c>
      <c r="R10" s="210">
        <v>10</v>
      </c>
      <c r="S10" s="210"/>
      <c r="T10" s="210"/>
      <c r="U10" s="210"/>
      <c r="V10" s="210"/>
      <c r="W10" s="210"/>
      <c r="X10" s="210"/>
      <c r="Y10" s="240">
        <v>1</v>
      </c>
      <c r="Z10" s="466">
        <v>15</v>
      </c>
      <c r="AA10" s="210">
        <v>15</v>
      </c>
      <c r="AB10" s="210"/>
      <c r="AC10" s="210"/>
      <c r="AD10" s="210"/>
      <c r="AE10" s="210">
        <v>25</v>
      </c>
      <c r="AF10" s="210">
        <v>1</v>
      </c>
    </row>
    <row r="11" spans="1:70" ht="24.75" customHeight="1">
      <c r="A11" s="721"/>
      <c r="B11" s="210">
        <v>4</v>
      </c>
      <c r="C11" s="216" t="str">
        <f>'[3]I rok'!B50</f>
        <v>Struktury ciała ludzkiego w badaniach obrazowych</v>
      </c>
      <c r="D11" s="264" t="str">
        <f>'I rok'!$C$50</f>
        <v>0912-7LEK-F-4-SC</v>
      </c>
      <c r="E11" s="238"/>
      <c r="F11" s="239">
        <f>'[3]I rok'!E50</f>
        <v>2</v>
      </c>
      <c r="G11" s="240"/>
      <c r="H11" s="452"/>
      <c r="I11" s="210"/>
      <c r="J11" s="210"/>
      <c r="K11" s="210"/>
      <c r="L11" s="210"/>
      <c r="M11" s="210"/>
      <c r="N11" s="210"/>
      <c r="O11" s="210"/>
      <c r="P11" s="240"/>
      <c r="Q11" s="452">
        <f>'[3]I rok'!P50</f>
        <v>15</v>
      </c>
      <c r="R11" s="210">
        <f>'[3]I rok'!Q50</f>
        <v>10</v>
      </c>
      <c r="S11" s="210"/>
      <c r="T11" s="210"/>
      <c r="U11" s="210"/>
      <c r="V11" s="210"/>
      <c r="W11" s="210"/>
      <c r="X11" s="210"/>
      <c r="Y11" s="240">
        <f>'[3]I rok'!X50</f>
        <v>1</v>
      </c>
      <c r="Z11" s="452">
        <f>'[3]I rok'!Y50</f>
        <v>15</v>
      </c>
      <c r="AA11" s="210">
        <f>'[3]I rok'!Z50</f>
        <v>15</v>
      </c>
      <c r="AB11" s="210"/>
      <c r="AC11" s="210"/>
      <c r="AD11" s="210"/>
      <c r="AE11" s="210">
        <f>'[3]I rok'!AD50</f>
        <v>25</v>
      </c>
      <c r="AF11" s="210">
        <f>'[3]I rok'!AE50</f>
        <v>1</v>
      </c>
    </row>
    <row r="12" spans="1:70" ht="24.75" customHeight="1">
      <c r="A12" s="721"/>
      <c r="B12" s="210">
        <v>5</v>
      </c>
      <c r="C12" s="216" t="str">
        <f>'[3]I rok'!B51</f>
        <v>Strukturalne podstawy interwencji sercowo-naczyniowych</v>
      </c>
      <c r="D12" s="264" t="str">
        <f>'I rok'!$C$51</f>
        <v>0912-7LEK-F-5-SSP</v>
      </c>
      <c r="E12" s="238"/>
      <c r="F12" s="239">
        <f>'[3]I rok'!E51</f>
        <v>2</v>
      </c>
      <c r="G12" s="240"/>
      <c r="H12" s="452"/>
      <c r="I12" s="210"/>
      <c r="J12" s="210"/>
      <c r="K12" s="210"/>
      <c r="L12" s="210"/>
      <c r="M12" s="210"/>
      <c r="N12" s="210"/>
      <c r="O12" s="210"/>
      <c r="P12" s="240"/>
      <c r="Q12" s="452">
        <f>'[3]I rok'!P51</f>
        <v>15</v>
      </c>
      <c r="R12" s="210">
        <f>'[3]I rok'!Q51</f>
        <v>10</v>
      </c>
      <c r="S12" s="210"/>
      <c r="T12" s="210"/>
      <c r="U12" s="210"/>
      <c r="V12" s="210"/>
      <c r="W12" s="210"/>
      <c r="X12" s="210"/>
      <c r="Y12" s="240">
        <f>'[3]I rok'!X51</f>
        <v>1</v>
      </c>
      <c r="Z12" s="452">
        <f>'[3]I rok'!Y51</f>
        <v>15</v>
      </c>
      <c r="AA12" s="210">
        <f>'[3]I rok'!Z51</f>
        <v>15</v>
      </c>
      <c r="AB12" s="210"/>
      <c r="AC12" s="210"/>
      <c r="AD12" s="210"/>
      <c r="AE12" s="210">
        <f>'[3]I rok'!AD51</f>
        <v>25</v>
      </c>
      <c r="AF12" s="210">
        <f>'[3]I rok'!AE51</f>
        <v>1</v>
      </c>
    </row>
    <row r="13" spans="1:70" ht="24.75" customHeight="1">
      <c r="A13" s="721"/>
      <c r="B13" s="210">
        <v>6</v>
      </c>
      <c r="C13" s="216" t="str">
        <f>'[3]I rok'!B52</f>
        <v>Nowoczesne techniki mikroskopowe w medycynie</v>
      </c>
      <c r="D13" s="264" t="str">
        <f>'I rok'!$C$52</f>
        <v>0912-7LEK-F-6-NT</v>
      </c>
      <c r="E13" s="238"/>
      <c r="F13" s="239">
        <f>'[3]I rok'!E52</f>
        <v>2</v>
      </c>
      <c r="G13" s="240"/>
      <c r="H13" s="452"/>
      <c r="I13" s="210"/>
      <c r="J13" s="210"/>
      <c r="K13" s="210"/>
      <c r="L13" s="210"/>
      <c r="M13" s="210"/>
      <c r="N13" s="210"/>
      <c r="O13" s="210"/>
      <c r="P13" s="240"/>
      <c r="Q13" s="452">
        <f>'[3]I rok'!P52</f>
        <v>15</v>
      </c>
      <c r="R13" s="210">
        <f>'[3]I rok'!Q52</f>
        <v>10</v>
      </c>
      <c r="S13" s="210"/>
      <c r="T13" s="210"/>
      <c r="U13" s="210"/>
      <c r="V13" s="210"/>
      <c r="W13" s="210"/>
      <c r="X13" s="210"/>
      <c r="Y13" s="240">
        <f>'[3]I rok'!X52</f>
        <v>1</v>
      </c>
      <c r="Z13" s="452">
        <f>'[3]I rok'!Y52</f>
        <v>15</v>
      </c>
      <c r="AA13" s="210">
        <f>'[3]I rok'!Z52</f>
        <v>15</v>
      </c>
      <c r="AB13" s="210"/>
      <c r="AC13" s="210"/>
      <c r="AD13" s="210"/>
      <c r="AE13" s="210">
        <f>'[3]I rok'!AD52</f>
        <v>25</v>
      </c>
      <c r="AF13" s="210">
        <f>'[3]I rok'!AE52</f>
        <v>1</v>
      </c>
    </row>
    <row r="14" spans="1:70" ht="24.75" customHeight="1">
      <c r="A14" s="721" t="s">
        <v>121</v>
      </c>
      <c r="B14" s="718" t="str">
        <f>'[3]II rok'!A46</f>
        <v>* Zajęcia fakultatywne (student wybiera w 3 semestrze 3 z 5; w 4 semestrze 3 z 6)</v>
      </c>
      <c r="C14" s="722"/>
      <c r="D14" s="722"/>
      <c r="E14" s="722"/>
      <c r="F14" s="722"/>
      <c r="G14" s="722"/>
      <c r="H14" s="722"/>
      <c r="I14" s="722"/>
      <c r="J14" s="722"/>
      <c r="K14" s="722"/>
      <c r="L14" s="722"/>
      <c r="M14" s="722"/>
      <c r="N14" s="722"/>
      <c r="O14" s="722"/>
      <c r="P14" s="722"/>
      <c r="Q14" s="722"/>
      <c r="R14" s="722"/>
      <c r="S14" s="722"/>
      <c r="T14" s="722"/>
      <c r="U14" s="722"/>
      <c r="V14" s="722"/>
      <c r="W14" s="722"/>
      <c r="X14" s="722"/>
      <c r="Y14" s="722"/>
      <c r="Z14" s="722"/>
      <c r="AA14" s="722"/>
      <c r="AB14" s="722"/>
      <c r="AC14" s="722"/>
      <c r="AD14" s="722"/>
      <c r="AE14" s="722"/>
      <c r="AF14" s="723"/>
    </row>
    <row r="15" spans="1:70" ht="24.75" customHeight="1">
      <c r="A15" s="721"/>
      <c r="B15" s="249" t="s">
        <v>147</v>
      </c>
      <c r="C15" s="243" t="str">
        <f>'[3]II rok'!B48</f>
        <v>Praktyka medyczna oparta na dowodach naukowych (EBM)</v>
      </c>
      <c r="D15" s="264" t="str">
        <f>'II rok'!$C$50</f>
        <v>0912-7LEK-F-7-EBM</v>
      </c>
      <c r="E15" s="245"/>
      <c r="F15" s="246">
        <f>'[3]II rok'!E48</f>
        <v>3</v>
      </c>
      <c r="G15" s="247"/>
      <c r="H15" s="248">
        <f>'[3]II rok'!G48</f>
        <v>15</v>
      </c>
      <c r="I15" s="249">
        <f>'[3]II rok'!H48</f>
        <v>10</v>
      </c>
      <c r="J15" s="249"/>
      <c r="K15" s="249"/>
      <c r="L15" s="249"/>
      <c r="M15" s="249"/>
      <c r="N15" s="249"/>
      <c r="O15" s="249"/>
      <c r="P15" s="247">
        <f>'[3]II rok'!O48</f>
        <v>1</v>
      </c>
      <c r="Q15" s="248"/>
      <c r="R15" s="249"/>
      <c r="S15" s="249"/>
      <c r="T15" s="249"/>
      <c r="U15" s="249"/>
      <c r="V15" s="249"/>
      <c r="W15" s="249"/>
      <c r="X15" s="249"/>
      <c r="Y15" s="247"/>
      <c r="Z15" s="248">
        <f>'[3]II rok'!Y48</f>
        <v>15</v>
      </c>
      <c r="AA15" s="249">
        <f>'[3]II rok'!Z48</f>
        <v>15</v>
      </c>
      <c r="AB15" s="249"/>
      <c r="AC15" s="249"/>
      <c r="AD15" s="249"/>
      <c r="AE15" s="249">
        <f>'[3]II rok'!AD48</f>
        <v>25</v>
      </c>
      <c r="AF15" s="249">
        <f>'[3]II rok'!AE48</f>
        <v>1</v>
      </c>
    </row>
    <row r="16" spans="1:70" ht="24.75" customHeight="1">
      <c r="A16" s="721"/>
      <c r="B16" s="249" t="s">
        <v>144</v>
      </c>
      <c r="C16" s="243" t="str">
        <f>'[3]II rok'!B49</f>
        <v>Żywność modyfikowana genetycznie</v>
      </c>
      <c r="D16" s="264" t="str">
        <f>'II rok'!$C$51</f>
        <v>0912-7LEK-F-8-GMO</v>
      </c>
      <c r="E16" s="245"/>
      <c r="F16" s="246">
        <f>'[3]II rok'!E49</f>
        <v>3</v>
      </c>
      <c r="G16" s="247"/>
      <c r="H16" s="248">
        <f>'[3]II rok'!G49</f>
        <v>15</v>
      </c>
      <c r="I16" s="249">
        <f>'[3]II rok'!H49</f>
        <v>10</v>
      </c>
      <c r="J16" s="249"/>
      <c r="K16" s="249"/>
      <c r="L16" s="249"/>
      <c r="M16" s="249"/>
      <c r="N16" s="249"/>
      <c r="O16" s="249"/>
      <c r="P16" s="247">
        <f>'[3]II rok'!O49</f>
        <v>1</v>
      </c>
      <c r="Q16" s="248"/>
      <c r="R16" s="249"/>
      <c r="S16" s="249"/>
      <c r="T16" s="249"/>
      <c r="U16" s="249"/>
      <c r="V16" s="249"/>
      <c r="W16" s="249"/>
      <c r="X16" s="249"/>
      <c r="Y16" s="247"/>
      <c r="Z16" s="248">
        <f>'[3]II rok'!Y49</f>
        <v>15</v>
      </c>
      <c r="AA16" s="249">
        <f>'[3]II rok'!Z49</f>
        <v>15</v>
      </c>
      <c r="AB16" s="249"/>
      <c r="AC16" s="249"/>
      <c r="AD16" s="249"/>
      <c r="AE16" s="249">
        <f>'[3]II rok'!AD49</f>
        <v>25</v>
      </c>
      <c r="AF16" s="249">
        <f>'[3]II rok'!AE49</f>
        <v>1</v>
      </c>
    </row>
    <row r="17" spans="1:32" ht="24.75" customHeight="1">
      <c r="A17" s="721"/>
      <c r="B17" s="249" t="s">
        <v>129</v>
      </c>
      <c r="C17" s="243" t="str">
        <f>'[3]II rok'!B51</f>
        <v>Molekularne podstawy działania narządów zmysłów</v>
      </c>
      <c r="D17" s="264" t="str">
        <f>'II rok'!$C$52</f>
        <v>0912-7LEK-F9-RA</v>
      </c>
      <c r="E17" s="245"/>
      <c r="F17" s="246">
        <f>'[3]II rok'!E51</f>
        <v>3</v>
      </c>
      <c r="G17" s="247"/>
      <c r="H17" s="248">
        <f>'[3]II rok'!G51</f>
        <v>15</v>
      </c>
      <c r="I17" s="249">
        <f>'[3]II rok'!H51</f>
        <v>10</v>
      </c>
      <c r="J17" s="249"/>
      <c r="K17" s="249"/>
      <c r="L17" s="249"/>
      <c r="M17" s="249"/>
      <c r="N17" s="249"/>
      <c r="O17" s="249"/>
      <c r="P17" s="247">
        <f>'[3]II rok'!O51</f>
        <v>1</v>
      </c>
      <c r="Q17" s="248"/>
      <c r="R17" s="249"/>
      <c r="S17" s="249"/>
      <c r="T17" s="249"/>
      <c r="U17" s="249"/>
      <c r="V17" s="249"/>
      <c r="W17" s="249"/>
      <c r="X17" s="249"/>
      <c r="Y17" s="247"/>
      <c r="Z17" s="248">
        <f>'[3]II rok'!Y51</f>
        <v>15</v>
      </c>
      <c r="AA17" s="249">
        <f>'[3]II rok'!Z51</f>
        <v>15</v>
      </c>
      <c r="AB17" s="249"/>
      <c r="AC17" s="249"/>
      <c r="AD17" s="249"/>
      <c r="AE17" s="249">
        <f>'[3]II rok'!AD51</f>
        <v>25</v>
      </c>
      <c r="AF17" s="249">
        <f>'[3]II rok'!AE51</f>
        <v>1</v>
      </c>
    </row>
    <row r="18" spans="1:32" ht="24.75" customHeight="1">
      <c r="A18" s="721"/>
      <c r="B18" s="249" t="s">
        <v>132</v>
      </c>
      <c r="C18" s="243" t="str">
        <f>'[3]II rok'!B52</f>
        <v xml:space="preserve">Racjonalna antybiotykoterapia </v>
      </c>
      <c r="D18" s="264" t="str">
        <f>'II rok'!$C$53</f>
        <v>0912-7LEK-F10-MP</v>
      </c>
      <c r="E18" s="245"/>
      <c r="F18" s="246">
        <f>'[3]II rok'!E52</f>
        <v>3</v>
      </c>
      <c r="G18" s="247"/>
      <c r="H18" s="248">
        <f>'[3]II rok'!G52</f>
        <v>15</v>
      </c>
      <c r="I18" s="249">
        <f>'[3]II rok'!H52</f>
        <v>10</v>
      </c>
      <c r="J18" s="249"/>
      <c r="K18" s="249"/>
      <c r="L18" s="249"/>
      <c r="M18" s="249"/>
      <c r="N18" s="249"/>
      <c r="O18" s="249"/>
      <c r="P18" s="247">
        <f>'[3]II rok'!O52</f>
        <v>1</v>
      </c>
      <c r="Q18" s="248"/>
      <c r="R18" s="249"/>
      <c r="S18" s="249"/>
      <c r="T18" s="249"/>
      <c r="U18" s="249"/>
      <c r="V18" s="249"/>
      <c r="W18" s="249"/>
      <c r="X18" s="249"/>
      <c r="Y18" s="247"/>
      <c r="Z18" s="248">
        <f>'[3]II rok'!Y52</f>
        <v>15</v>
      </c>
      <c r="AA18" s="249">
        <f>'[3]II rok'!Z52</f>
        <v>15</v>
      </c>
      <c r="AB18" s="249"/>
      <c r="AC18" s="249"/>
      <c r="AD18" s="249"/>
      <c r="AE18" s="249">
        <f>'[3]II rok'!AD52</f>
        <v>25</v>
      </c>
      <c r="AF18" s="249">
        <f>'[3]II rok'!AE52</f>
        <v>1</v>
      </c>
    </row>
    <row r="19" spans="1:32" ht="24.75" customHeight="1">
      <c r="A19" s="721"/>
      <c r="B19" s="249" t="s">
        <v>133</v>
      </c>
      <c r="C19" s="243" t="str">
        <f>'[3]II rok'!B53</f>
        <v xml:space="preserve">Inżynieria genetyczna </v>
      </c>
      <c r="D19" s="264" t="str">
        <f>'II rok'!C54</f>
        <v>0912-7LEK-F11-IG</v>
      </c>
      <c r="E19" s="245"/>
      <c r="F19" s="246">
        <f>'[3]II rok'!E53</f>
        <v>4</v>
      </c>
      <c r="G19" s="247"/>
      <c r="H19" s="248"/>
      <c r="I19" s="249"/>
      <c r="J19" s="249"/>
      <c r="K19" s="249"/>
      <c r="L19" s="249"/>
      <c r="M19" s="249"/>
      <c r="N19" s="249"/>
      <c r="O19" s="249"/>
      <c r="P19" s="247"/>
      <c r="Q19" s="248" t="s">
        <v>140</v>
      </c>
      <c r="R19" s="249" t="s">
        <v>132</v>
      </c>
      <c r="S19" s="249"/>
      <c r="T19" s="249"/>
      <c r="U19" s="249"/>
      <c r="V19" s="249"/>
      <c r="W19" s="249"/>
      <c r="X19" s="249"/>
      <c r="Y19" s="247">
        <f>'[3]II rok'!X53</f>
        <v>1</v>
      </c>
      <c r="Z19" s="248">
        <f>'[3]II rok'!Y53</f>
        <v>15</v>
      </c>
      <c r="AA19" s="249" t="s">
        <v>140</v>
      </c>
      <c r="AB19" s="249"/>
      <c r="AC19" s="249"/>
      <c r="AD19" s="249"/>
      <c r="AE19" s="249">
        <f>'[3]II rok'!AD53</f>
        <v>25</v>
      </c>
      <c r="AF19" s="249">
        <f>'[3]II rok'!AE53</f>
        <v>1</v>
      </c>
    </row>
    <row r="20" spans="1:32" ht="24.75" customHeight="1">
      <c r="A20" s="721"/>
      <c r="B20" s="249" t="s">
        <v>134</v>
      </c>
      <c r="C20" s="243" t="str">
        <f>'[3]II rok'!B55</f>
        <v>Elektrofizjologia</v>
      </c>
      <c r="D20" s="264" t="str">
        <f>'II rok'!C55</f>
        <v>0912-7LEK-F-12-Ef</v>
      </c>
      <c r="E20" s="245"/>
      <c r="F20" s="246">
        <f>'[3]II rok'!E55</f>
        <v>4</v>
      </c>
      <c r="G20" s="247"/>
      <c r="H20" s="248"/>
      <c r="I20" s="249"/>
      <c r="J20" s="249"/>
      <c r="K20" s="249"/>
      <c r="L20" s="249"/>
      <c r="M20" s="249"/>
      <c r="N20" s="249"/>
      <c r="O20" s="249"/>
      <c r="P20" s="247"/>
      <c r="Q20" s="248">
        <f>'[3]II rok'!P55</f>
        <v>15</v>
      </c>
      <c r="R20" s="249">
        <f>'[3]II rok'!Q55</f>
        <v>10</v>
      </c>
      <c r="S20" s="249"/>
      <c r="T20" s="249"/>
      <c r="U20" s="249"/>
      <c r="V20" s="249"/>
      <c r="W20" s="249"/>
      <c r="X20" s="249"/>
      <c r="Y20" s="247">
        <f>'[3]II rok'!X55</f>
        <v>1</v>
      </c>
      <c r="Z20" s="248">
        <f>'[3]II rok'!Y55</f>
        <v>15</v>
      </c>
      <c r="AA20" s="249">
        <f>'[3]II rok'!Z55</f>
        <v>15</v>
      </c>
      <c r="AB20" s="249"/>
      <c r="AC20" s="249"/>
      <c r="AD20" s="249"/>
      <c r="AE20" s="249">
        <f>'[3]II rok'!AD55</f>
        <v>25</v>
      </c>
      <c r="AF20" s="249">
        <f>'[3]II rok'!AE55</f>
        <v>1</v>
      </c>
    </row>
    <row r="21" spans="1:32" ht="24.75" customHeight="1">
      <c r="A21" s="721"/>
      <c r="B21" s="249" t="s">
        <v>135</v>
      </c>
      <c r="C21" s="243" t="str">
        <f>'[3]II rok'!B56</f>
        <v>Aparatura medyczna</v>
      </c>
      <c r="D21" s="264" t="str">
        <f>'II rok'!C56</f>
        <v>0912-7LEK-F-13-AM</v>
      </c>
      <c r="E21" s="245"/>
      <c r="F21" s="246">
        <f>'[3]II rok'!E56</f>
        <v>4</v>
      </c>
      <c r="G21" s="247"/>
      <c r="H21" s="248"/>
      <c r="I21" s="249"/>
      <c r="J21" s="249"/>
      <c r="K21" s="249"/>
      <c r="L21" s="249"/>
      <c r="M21" s="249"/>
      <c r="N21" s="249"/>
      <c r="O21" s="249"/>
      <c r="P21" s="247"/>
      <c r="Q21" s="248">
        <f>'[3]II rok'!P56</f>
        <v>15</v>
      </c>
      <c r="R21" s="249">
        <f>'[3]II rok'!Q56</f>
        <v>10</v>
      </c>
      <c r="S21" s="249"/>
      <c r="T21" s="249"/>
      <c r="U21" s="249"/>
      <c r="V21" s="249"/>
      <c r="W21" s="249"/>
      <c r="X21" s="249"/>
      <c r="Y21" s="247">
        <f>'[3]II rok'!X56</f>
        <v>1</v>
      </c>
      <c r="Z21" s="248">
        <f>'[3]II rok'!Y56</f>
        <v>15</v>
      </c>
      <c r="AA21" s="249">
        <f>'[3]II rok'!Z56</f>
        <v>15</v>
      </c>
      <c r="AB21" s="249"/>
      <c r="AC21" s="249"/>
      <c r="AD21" s="249"/>
      <c r="AE21" s="249">
        <f>'[3]II rok'!AD56</f>
        <v>25</v>
      </c>
      <c r="AF21" s="249">
        <f>'[3]II rok'!AE56</f>
        <v>1</v>
      </c>
    </row>
    <row r="22" spans="1:32" ht="24.75" customHeight="1">
      <c r="A22" s="721"/>
      <c r="B22" s="249" t="s">
        <v>136</v>
      </c>
      <c r="C22" s="243" t="str">
        <f>'[3]II rok'!B57</f>
        <v>Immunologia onkologiczna</v>
      </c>
      <c r="D22" s="264" t="str">
        <f>'II rok'!C57</f>
        <v>0912-7LEK-F-14-IO</v>
      </c>
      <c r="E22" s="245"/>
      <c r="F22" s="246">
        <f>'[3]II rok'!E57</f>
        <v>4</v>
      </c>
      <c r="G22" s="247"/>
      <c r="H22" s="281"/>
      <c r="I22" s="282"/>
      <c r="J22" s="282"/>
      <c r="K22" s="282"/>
      <c r="L22" s="282"/>
      <c r="M22" s="282"/>
      <c r="N22" s="282"/>
      <c r="O22" s="282"/>
      <c r="P22" s="280"/>
      <c r="Q22" s="281">
        <f>'[3]II rok'!P57</f>
        <v>15</v>
      </c>
      <c r="R22" s="282">
        <f>'[3]II rok'!Q57</f>
        <v>10</v>
      </c>
      <c r="S22" s="282"/>
      <c r="T22" s="282"/>
      <c r="U22" s="282"/>
      <c r="V22" s="282"/>
      <c r="W22" s="282"/>
      <c r="X22" s="282"/>
      <c r="Y22" s="280">
        <f>'[3]II rok'!X57</f>
        <v>1</v>
      </c>
      <c r="Z22" s="281">
        <f>'[3]II rok'!Y57</f>
        <v>15</v>
      </c>
      <c r="AA22" s="282">
        <f>'[3]II rok'!Z57</f>
        <v>15</v>
      </c>
      <c r="AB22" s="282"/>
      <c r="AC22" s="282"/>
      <c r="AD22" s="282"/>
      <c r="AE22" s="282">
        <f>'[3]II rok'!AD57</f>
        <v>25</v>
      </c>
      <c r="AF22" s="282">
        <f>'[3]II rok'!AE57</f>
        <v>1</v>
      </c>
    </row>
    <row r="23" spans="1:32" ht="24.75" customHeight="1">
      <c r="A23" s="453"/>
      <c r="B23" s="249" t="s">
        <v>140</v>
      </c>
      <c r="C23" s="308" t="s">
        <v>274</v>
      </c>
      <c r="D23" s="307" t="str">
        <f>'II rok'!C58</f>
        <v>0912-7LEK-F-15-HO</v>
      </c>
      <c r="E23" s="245"/>
      <c r="F23" s="246" t="s">
        <v>143</v>
      </c>
      <c r="G23" s="255"/>
      <c r="H23" s="245"/>
      <c r="I23" s="249"/>
      <c r="J23" s="249"/>
      <c r="K23" s="249"/>
      <c r="L23" s="249"/>
      <c r="M23" s="249"/>
      <c r="N23" s="249"/>
      <c r="O23" s="249"/>
      <c r="P23" s="247"/>
      <c r="Q23" s="245">
        <f>'[3]II rok'!P58</f>
        <v>15</v>
      </c>
      <c r="R23" s="249">
        <f>'[3]II rok'!Q58</f>
        <v>10</v>
      </c>
      <c r="S23" s="249"/>
      <c r="T23" s="249"/>
      <c r="U23" s="249"/>
      <c r="V23" s="249"/>
      <c r="W23" s="249"/>
      <c r="X23" s="249"/>
      <c r="Y23" s="247">
        <f>'[3]II rok'!X58</f>
        <v>1</v>
      </c>
      <c r="Z23" s="248">
        <f>'[3]II rok'!Y58</f>
        <v>15</v>
      </c>
      <c r="AA23" s="249">
        <f>'[3]II rok'!Z58</f>
        <v>15</v>
      </c>
      <c r="AB23" s="249"/>
      <c r="AC23" s="249"/>
      <c r="AD23" s="249"/>
      <c r="AE23" s="249">
        <f>'[3]II rok'!AD58</f>
        <v>25</v>
      </c>
      <c r="AF23" s="249">
        <f>'[3]II rok'!AE58</f>
        <v>1</v>
      </c>
    </row>
    <row r="24" spans="1:32" ht="24.75" customHeight="1">
      <c r="A24" s="721" t="s">
        <v>148</v>
      </c>
      <c r="B24" s="718" t="str">
        <f>'III rok'!$A$42</f>
        <v>* Zajęcia fakultatywne (student wybiera w 5 semestrze 3 z 5; w 6 semestrze 2 z 3)</v>
      </c>
      <c r="C24" s="722"/>
      <c r="D24" s="722"/>
      <c r="E24" s="722"/>
      <c r="F24" s="722"/>
      <c r="G24" s="722"/>
      <c r="H24" s="722"/>
      <c r="I24" s="722"/>
      <c r="J24" s="722"/>
      <c r="K24" s="722"/>
      <c r="L24" s="722"/>
      <c r="M24" s="722"/>
      <c r="N24" s="722"/>
      <c r="O24" s="722"/>
      <c r="P24" s="722"/>
      <c r="Q24" s="722"/>
      <c r="R24" s="722"/>
      <c r="S24" s="722"/>
      <c r="T24" s="722"/>
      <c r="U24" s="722"/>
      <c r="V24" s="722"/>
      <c r="W24" s="722"/>
      <c r="X24" s="722"/>
      <c r="Y24" s="722"/>
      <c r="Z24" s="722"/>
      <c r="AA24" s="722"/>
      <c r="AB24" s="722"/>
      <c r="AC24" s="722"/>
      <c r="AD24" s="722"/>
      <c r="AE24" s="722"/>
      <c r="AF24" s="723"/>
    </row>
    <row r="25" spans="1:32" ht="24.75" customHeight="1">
      <c r="A25" s="721"/>
      <c r="B25" s="249" t="s">
        <v>141</v>
      </c>
      <c r="C25" s="243" t="str">
        <f>'[3]III rok'!B43</f>
        <v>Patofizjologia nerek</v>
      </c>
      <c r="D25" s="264" t="str">
        <f>'III rok'!C44</f>
        <v>0912-7LEK-F-16-PN</v>
      </c>
      <c r="E25" s="245"/>
      <c r="F25" s="246">
        <f>'[3]III rok'!E43</f>
        <v>5</v>
      </c>
      <c r="G25" s="247"/>
      <c r="H25" s="248">
        <f>'[3]III rok'!G43</f>
        <v>15</v>
      </c>
      <c r="I25" s="249">
        <f>'[3]III rok'!H43</f>
        <v>10</v>
      </c>
      <c r="J25" s="249"/>
      <c r="K25" s="249"/>
      <c r="L25" s="249"/>
      <c r="M25" s="249"/>
      <c r="N25" s="249"/>
      <c r="O25" s="249"/>
      <c r="P25" s="247">
        <f>'[3]III rok'!O43</f>
        <v>1</v>
      </c>
      <c r="Q25" s="248"/>
      <c r="R25" s="249"/>
      <c r="S25" s="249"/>
      <c r="T25" s="249"/>
      <c r="U25" s="249"/>
      <c r="V25" s="249"/>
      <c r="W25" s="249"/>
      <c r="X25" s="249"/>
      <c r="Y25" s="247"/>
      <c r="Z25" s="248">
        <f>'[3]III rok'!Y43</f>
        <v>15</v>
      </c>
      <c r="AA25" s="249">
        <f>'[3]III rok'!Z43</f>
        <v>15</v>
      </c>
      <c r="AB25" s="249"/>
      <c r="AC25" s="249"/>
      <c r="AD25" s="249"/>
      <c r="AE25" s="249">
        <f>'[3]III rok'!AD43</f>
        <v>25</v>
      </c>
      <c r="AF25" s="249">
        <f>'[3]III rok'!AE43</f>
        <v>1</v>
      </c>
    </row>
    <row r="26" spans="1:32" ht="24.75" customHeight="1">
      <c r="A26" s="721"/>
      <c r="B26" s="249" t="s">
        <v>142</v>
      </c>
      <c r="C26" s="243" t="str">
        <f>'[3]III rok'!B44</f>
        <v xml:space="preserve">Patofizjologia trzustki </v>
      </c>
      <c r="D26" s="264" t="str">
        <f>'III rok'!C45</f>
        <v>0912-7LEK-F-17-PT</v>
      </c>
      <c r="E26" s="245"/>
      <c r="F26" s="246">
        <f>'[3]III rok'!E44</f>
        <v>5</v>
      </c>
      <c r="G26" s="247"/>
      <c r="H26" s="248">
        <f>'[3]III rok'!G44</f>
        <v>15</v>
      </c>
      <c r="I26" s="249">
        <f>'[3]III rok'!H44</f>
        <v>10</v>
      </c>
      <c r="J26" s="249"/>
      <c r="K26" s="249"/>
      <c r="L26" s="249"/>
      <c r="M26" s="249"/>
      <c r="N26" s="249"/>
      <c r="O26" s="249"/>
      <c r="P26" s="247">
        <f>'[3]III rok'!O44</f>
        <v>1</v>
      </c>
      <c r="Q26" s="248"/>
      <c r="R26" s="249"/>
      <c r="S26" s="249"/>
      <c r="T26" s="249"/>
      <c r="U26" s="249"/>
      <c r="V26" s="249"/>
      <c r="W26" s="249"/>
      <c r="X26" s="249"/>
      <c r="Y26" s="247"/>
      <c r="Z26" s="248">
        <f>'[3]III rok'!Y44</f>
        <v>15</v>
      </c>
      <c r="AA26" s="249">
        <f>'[3]III rok'!Z44</f>
        <v>15</v>
      </c>
      <c r="AB26" s="249"/>
      <c r="AC26" s="249"/>
      <c r="AD26" s="249"/>
      <c r="AE26" s="249">
        <f>'[3]III rok'!AD44</f>
        <v>25</v>
      </c>
      <c r="AF26" s="249">
        <f>'[3]III rok'!AE44</f>
        <v>1</v>
      </c>
    </row>
    <row r="27" spans="1:32" ht="24.75" customHeight="1">
      <c r="A27" s="721"/>
      <c r="B27" s="249" t="s">
        <v>150</v>
      </c>
      <c r="C27" s="243" t="str">
        <f>'[3]III rok'!B46</f>
        <v>Interwencja kryzysowa
 (przedmiot realizowany w formie ćwiczeń)</v>
      </c>
      <c r="D27" s="264" t="str">
        <f>'III rok'!C47</f>
        <v>0912-7LEK-F-18-IK</v>
      </c>
      <c r="E27" s="245"/>
      <c r="F27" s="246">
        <f>'[3]III rok'!E46</f>
        <v>5</v>
      </c>
      <c r="G27" s="247"/>
      <c r="H27" s="248"/>
      <c r="I27" s="249"/>
      <c r="J27" s="249">
        <f>'[3]III rok'!I46</f>
        <v>15</v>
      </c>
      <c r="K27" s="249">
        <f>'[3]III rok'!J46</f>
        <v>10</v>
      </c>
      <c r="L27" s="249"/>
      <c r="M27" s="249"/>
      <c r="N27" s="249"/>
      <c r="O27" s="249"/>
      <c r="P27" s="247">
        <f>'[3]III rok'!O46</f>
        <v>1</v>
      </c>
      <c r="Q27" s="248"/>
      <c r="R27" s="249"/>
      <c r="S27" s="249"/>
      <c r="T27" s="249"/>
      <c r="U27" s="249"/>
      <c r="V27" s="249"/>
      <c r="W27" s="249"/>
      <c r="X27" s="249"/>
      <c r="Y27" s="247"/>
      <c r="Z27" s="248">
        <f>'[3]III rok'!Y46</f>
        <v>15</v>
      </c>
      <c r="AA27" s="249">
        <f>'[3]III rok'!Z46</f>
        <v>0</v>
      </c>
      <c r="AB27" s="249">
        <f>'[3]III rok'!AA46</f>
        <v>15</v>
      </c>
      <c r="AC27" s="249"/>
      <c r="AD27" s="249"/>
      <c r="AE27" s="249">
        <f>'[3]III rok'!AD46</f>
        <v>25</v>
      </c>
      <c r="AF27" s="249">
        <f>'[3]III rok'!AE46</f>
        <v>1</v>
      </c>
    </row>
    <row r="28" spans="1:32" ht="24.75" customHeight="1">
      <c r="A28" s="721"/>
      <c r="B28" s="249" t="s">
        <v>151</v>
      </c>
      <c r="C28" s="243" t="str">
        <f>'[3]III rok'!B47</f>
        <v>Język migowy 
 (przedmiot realizowany w formie ćwiczeń)</v>
      </c>
      <c r="D28" s="264" t="str">
        <f>'III rok'!C48</f>
        <v>0912-7LEK-F-19-JM</v>
      </c>
      <c r="E28" s="245"/>
      <c r="F28" s="246">
        <f>'[3]III rok'!E47</f>
        <v>5</v>
      </c>
      <c r="G28" s="247"/>
      <c r="H28" s="248"/>
      <c r="I28" s="249"/>
      <c r="J28" s="249">
        <f>'[3]III rok'!I47</f>
        <v>15</v>
      </c>
      <c r="K28" s="249">
        <f>'[3]III rok'!J47</f>
        <v>10</v>
      </c>
      <c r="L28" s="249"/>
      <c r="M28" s="249"/>
      <c r="N28" s="249"/>
      <c r="O28" s="249"/>
      <c r="P28" s="247">
        <f>'[3]III rok'!O47</f>
        <v>1</v>
      </c>
      <c r="Q28" s="248"/>
      <c r="R28" s="249"/>
      <c r="S28" s="249"/>
      <c r="T28" s="249"/>
      <c r="U28" s="249"/>
      <c r="V28" s="249"/>
      <c r="W28" s="249"/>
      <c r="X28" s="249"/>
      <c r="Y28" s="247"/>
      <c r="Z28" s="248">
        <f>'[3]III rok'!Y47</f>
        <v>15</v>
      </c>
      <c r="AA28" s="249">
        <f>'[3]III rok'!Z47</f>
        <v>0</v>
      </c>
      <c r="AB28" s="249">
        <f>'[3]III rok'!AA47</f>
        <v>15</v>
      </c>
      <c r="AC28" s="249"/>
      <c r="AD28" s="249"/>
      <c r="AE28" s="249">
        <f>'[3]III rok'!AD47</f>
        <v>25</v>
      </c>
      <c r="AF28" s="249">
        <f>'[3]III rok'!AE47</f>
        <v>1</v>
      </c>
    </row>
    <row r="29" spans="1:32" ht="24.75" customHeight="1">
      <c r="A29" s="721"/>
      <c r="B29" s="249" t="s">
        <v>152</v>
      </c>
      <c r="C29" s="243" t="str">
        <f>'[3]III rok'!B48</f>
        <v>Patomorfologia zmian zapalnych o różnej etiologii</v>
      </c>
      <c r="D29" s="264" t="str">
        <f>'III rok'!C49</f>
        <v>0912-7LEK-F-20-PZ</v>
      </c>
      <c r="E29" s="245"/>
      <c r="F29" s="246">
        <f>'[3]III rok'!E48</f>
        <v>6</v>
      </c>
      <c r="G29" s="247"/>
      <c r="H29" s="248"/>
      <c r="I29" s="249"/>
      <c r="J29" s="249"/>
      <c r="K29" s="249"/>
      <c r="L29" s="249"/>
      <c r="M29" s="249"/>
      <c r="N29" s="249"/>
      <c r="O29" s="249"/>
      <c r="P29" s="247">
        <f>'[3]III rok'!O48</f>
        <v>0</v>
      </c>
      <c r="Q29" s="248">
        <f>'[3]III rok'!P48</f>
        <v>15</v>
      </c>
      <c r="R29" s="249">
        <f>'[3]III rok'!Q48</f>
        <v>10</v>
      </c>
      <c r="S29" s="249"/>
      <c r="T29" s="249"/>
      <c r="U29" s="249"/>
      <c r="V29" s="249"/>
      <c r="W29" s="249"/>
      <c r="X29" s="249"/>
      <c r="Y29" s="247">
        <f>'[3]III rok'!X48</f>
        <v>1</v>
      </c>
      <c r="Z29" s="248">
        <f>'[3]III rok'!Y48</f>
        <v>15</v>
      </c>
      <c r="AA29" s="249">
        <f>'[3]III rok'!Z48</f>
        <v>15</v>
      </c>
      <c r="AB29" s="249"/>
      <c r="AC29" s="249"/>
      <c r="AD29" s="249"/>
      <c r="AE29" s="249">
        <f>'[3]III rok'!AD48</f>
        <v>25</v>
      </c>
      <c r="AF29" s="249">
        <f>'[3]III rok'!AE48</f>
        <v>1</v>
      </c>
    </row>
    <row r="30" spans="1:32" ht="24.75" customHeight="1">
      <c r="A30" s="721"/>
      <c r="B30" s="249" t="s">
        <v>153</v>
      </c>
      <c r="C30" s="243" t="str">
        <f>'[3]III rok'!B49</f>
        <v>Specyfika narządowa raportów patomorfologicznych nowotworów</v>
      </c>
      <c r="D30" s="264" t="str">
        <f>'III rok'!C50</f>
        <v>0912-7LEK-F-21-S</v>
      </c>
      <c r="E30" s="245"/>
      <c r="F30" s="246">
        <f>'[3]III rok'!E49</f>
        <v>6</v>
      </c>
      <c r="G30" s="247"/>
      <c r="H30" s="248"/>
      <c r="I30" s="249"/>
      <c r="J30" s="249"/>
      <c r="K30" s="249"/>
      <c r="L30" s="249"/>
      <c r="M30" s="249"/>
      <c r="N30" s="249"/>
      <c r="O30" s="249"/>
      <c r="P30" s="247">
        <f>'[3]III rok'!O49</f>
        <v>0</v>
      </c>
      <c r="Q30" s="248">
        <f>'[3]III rok'!P49</f>
        <v>15</v>
      </c>
      <c r="R30" s="249">
        <f>'[3]III rok'!Q49</f>
        <v>10</v>
      </c>
      <c r="S30" s="249"/>
      <c r="T30" s="249"/>
      <c r="U30" s="249"/>
      <c r="V30" s="249"/>
      <c r="W30" s="249"/>
      <c r="X30" s="249"/>
      <c r="Y30" s="247">
        <f>'[3]III rok'!X49</f>
        <v>1</v>
      </c>
      <c r="Z30" s="248">
        <f>'[3]III rok'!Y49</f>
        <v>15</v>
      </c>
      <c r="AA30" s="249">
        <f>'[3]III rok'!Z49</f>
        <v>15</v>
      </c>
      <c r="AB30" s="249"/>
      <c r="AC30" s="249"/>
      <c r="AD30" s="249"/>
      <c r="AE30" s="249">
        <f>'[3]III rok'!AD49</f>
        <v>25</v>
      </c>
      <c r="AF30" s="249">
        <f>'[3]III rok'!AE49</f>
        <v>1</v>
      </c>
    </row>
    <row r="31" spans="1:32" ht="24.75" customHeight="1">
      <c r="A31" s="721"/>
      <c r="B31" s="249" t="s">
        <v>192</v>
      </c>
      <c r="C31" s="243" t="str">
        <f>'[3]III rok'!B50</f>
        <v>Patofizjologia układu endokrynnego</v>
      </c>
      <c r="D31" s="264" t="str">
        <f>'III rok'!C51</f>
        <v>0912-7LEK-F-22-PUE</v>
      </c>
      <c r="E31" s="245"/>
      <c r="F31" s="246">
        <f>'[3]III rok'!E50</f>
        <v>6</v>
      </c>
      <c r="G31" s="247"/>
      <c r="H31" s="248"/>
      <c r="I31" s="249"/>
      <c r="J31" s="249"/>
      <c r="K31" s="249"/>
      <c r="L31" s="249"/>
      <c r="M31" s="249"/>
      <c r="N31" s="249"/>
      <c r="O31" s="249"/>
      <c r="P31" s="247">
        <f>'[3]III rok'!O50</f>
        <v>0</v>
      </c>
      <c r="Q31" s="248">
        <f>'[3]III rok'!P50</f>
        <v>15</v>
      </c>
      <c r="R31" s="249">
        <f>'[3]III rok'!Q50</f>
        <v>10</v>
      </c>
      <c r="S31" s="249"/>
      <c r="T31" s="249"/>
      <c r="U31" s="249"/>
      <c r="V31" s="249"/>
      <c r="W31" s="249"/>
      <c r="X31" s="249"/>
      <c r="Y31" s="247">
        <f>'[3]III rok'!X50</f>
        <v>1</v>
      </c>
      <c r="Z31" s="248">
        <f>'[3]III rok'!Y50</f>
        <v>15</v>
      </c>
      <c r="AA31" s="249">
        <f>'[3]III rok'!Z50</f>
        <v>15</v>
      </c>
      <c r="AB31" s="249"/>
      <c r="AC31" s="249"/>
      <c r="AD31" s="249"/>
      <c r="AE31" s="249">
        <f>'[3]III rok'!AD50</f>
        <v>25</v>
      </c>
      <c r="AF31" s="249">
        <f>'[3]III rok'!AE50</f>
        <v>1</v>
      </c>
    </row>
    <row r="32" spans="1:32" ht="24.75" customHeight="1">
      <c r="A32" s="721" t="s">
        <v>149</v>
      </c>
      <c r="B32" s="718" t="str">
        <f>'IV rok'!$A$42</f>
        <v>* Zajęcia fakultatywne ( student wybiera z grupy 9 przedmiotów: 3przedmioty w 7 semestrze oraz 3 przedmioty w 8 semestrze)</v>
      </c>
      <c r="C32" s="722"/>
      <c r="D32" s="722"/>
      <c r="E32" s="722"/>
      <c r="F32" s="722"/>
      <c r="G32" s="722"/>
      <c r="H32" s="722"/>
      <c r="I32" s="722"/>
      <c r="J32" s="722"/>
      <c r="K32" s="722"/>
      <c r="L32" s="722"/>
      <c r="M32" s="722"/>
      <c r="N32" s="722"/>
      <c r="O32" s="722"/>
      <c r="P32" s="722"/>
      <c r="Q32" s="722"/>
      <c r="R32" s="722"/>
      <c r="S32" s="722"/>
      <c r="T32" s="722"/>
      <c r="U32" s="722"/>
      <c r="V32" s="722"/>
      <c r="W32" s="722"/>
      <c r="X32" s="722"/>
      <c r="Y32" s="722"/>
      <c r="Z32" s="722"/>
      <c r="AA32" s="722"/>
      <c r="AB32" s="722"/>
      <c r="AC32" s="722"/>
      <c r="AD32" s="722"/>
      <c r="AE32" s="722"/>
      <c r="AF32" s="723"/>
    </row>
    <row r="33" spans="1:32" ht="24.75" customHeight="1">
      <c r="A33" s="721"/>
      <c r="B33" s="249" t="s">
        <v>193</v>
      </c>
      <c r="C33" s="243" t="str">
        <f>'[3]IV rok'!B43</f>
        <v>Dermatologia pediatryczna</v>
      </c>
      <c r="D33" s="264" t="str">
        <f>'IV rok'!C43</f>
        <v>0912-7LEK-F23-D</v>
      </c>
      <c r="E33" s="245"/>
      <c r="F33" s="246">
        <f>'[3]IV rok'!E43</f>
        <v>7</v>
      </c>
      <c r="G33" s="247"/>
      <c r="H33" s="248">
        <f>'[3]IV rok'!G43</f>
        <v>15</v>
      </c>
      <c r="I33" s="249">
        <f>'[3]IV rok'!H43</f>
        <v>10</v>
      </c>
      <c r="J33" s="249"/>
      <c r="K33" s="249"/>
      <c r="L33" s="249"/>
      <c r="M33" s="249"/>
      <c r="N33" s="249"/>
      <c r="O33" s="249"/>
      <c r="P33" s="247">
        <f>'[3]IV rok'!O43</f>
        <v>1</v>
      </c>
      <c r="Q33" s="248"/>
      <c r="R33" s="249"/>
      <c r="S33" s="249"/>
      <c r="T33" s="249"/>
      <c r="U33" s="249"/>
      <c r="V33" s="249"/>
      <c r="W33" s="249"/>
      <c r="X33" s="249"/>
      <c r="Y33" s="247"/>
      <c r="Z33" s="248">
        <f>'[3]IV rok'!Y43</f>
        <v>15</v>
      </c>
      <c r="AA33" s="249">
        <f>'[3]IV rok'!Z43</f>
        <v>15</v>
      </c>
      <c r="AB33" s="249"/>
      <c r="AC33" s="249"/>
      <c r="AD33" s="249"/>
      <c r="AE33" s="249">
        <f>'[3]IV rok'!AD43</f>
        <v>25</v>
      </c>
      <c r="AF33" s="249">
        <f>'[3]IV rok'!AE43</f>
        <v>1</v>
      </c>
    </row>
    <row r="34" spans="1:32" ht="24.75" customHeight="1">
      <c r="A34" s="721"/>
      <c r="B34" s="249" t="s">
        <v>194</v>
      </c>
      <c r="C34" s="243" t="str">
        <f>'[3]IV rok'!B44</f>
        <v>Farmakoekonomika</v>
      </c>
      <c r="D34" s="264" t="str">
        <f>'IV rok'!C44</f>
        <v>0912-7LEK-F24-F</v>
      </c>
      <c r="E34" s="245"/>
      <c r="F34" s="246">
        <f>'[3]IV rok'!E44</f>
        <v>7</v>
      </c>
      <c r="G34" s="247"/>
      <c r="H34" s="248">
        <f>'[3]IV rok'!G44</f>
        <v>15</v>
      </c>
      <c r="I34" s="249">
        <f>'[3]IV rok'!H44</f>
        <v>10</v>
      </c>
      <c r="J34" s="249"/>
      <c r="K34" s="249"/>
      <c r="L34" s="249"/>
      <c r="M34" s="249"/>
      <c r="N34" s="249"/>
      <c r="O34" s="249"/>
      <c r="P34" s="247">
        <f>'[3]IV rok'!O44</f>
        <v>1</v>
      </c>
      <c r="Q34" s="248"/>
      <c r="R34" s="249"/>
      <c r="S34" s="249"/>
      <c r="T34" s="249"/>
      <c r="U34" s="249"/>
      <c r="V34" s="249"/>
      <c r="W34" s="249"/>
      <c r="X34" s="249"/>
      <c r="Y34" s="247"/>
      <c r="Z34" s="248">
        <f>'[3]IV rok'!Y44</f>
        <v>15</v>
      </c>
      <c r="AA34" s="249">
        <f>'[3]IV rok'!Z44</f>
        <v>15</v>
      </c>
      <c r="AB34" s="249"/>
      <c r="AC34" s="249"/>
      <c r="AD34" s="249"/>
      <c r="AE34" s="249">
        <f>'[3]IV rok'!AD44</f>
        <v>25</v>
      </c>
      <c r="AF34" s="249">
        <f>'[3]IV rok'!AE44</f>
        <v>1</v>
      </c>
    </row>
    <row r="35" spans="1:32" ht="24.75" customHeight="1">
      <c r="A35" s="721"/>
      <c r="B35" s="249" t="s">
        <v>195</v>
      </c>
      <c r="C35" s="243" t="str">
        <f>'[3]IV rok'!B45</f>
        <v>Zakażenia wirusami przenoszonymi drogą krwi</v>
      </c>
      <c r="D35" s="264" t="str">
        <f>'IV rok'!C46</f>
        <v>0912-7LEK-F26-Z</v>
      </c>
      <c r="E35" s="245"/>
      <c r="F35" s="246">
        <f>'[3]IV rok'!E45</f>
        <v>7</v>
      </c>
      <c r="G35" s="247"/>
      <c r="H35" s="248">
        <f>'[3]IV rok'!G45</f>
        <v>15</v>
      </c>
      <c r="I35" s="249">
        <f>'[3]IV rok'!H45</f>
        <v>10</v>
      </c>
      <c r="J35" s="249"/>
      <c r="K35" s="249"/>
      <c r="L35" s="249"/>
      <c r="M35" s="249"/>
      <c r="N35" s="249"/>
      <c r="O35" s="249"/>
      <c r="P35" s="247">
        <f>'[3]IV rok'!O45</f>
        <v>1</v>
      </c>
      <c r="Q35" s="248"/>
      <c r="R35" s="249"/>
      <c r="S35" s="249"/>
      <c r="T35" s="249"/>
      <c r="U35" s="249"/>
      <c r="V35" s="249"/>
      <c r="W35" s="249"/>
      <c r="X35" s="249"/>
      <c r="Y35" s="247"/>
      <c r="Z35" s="248">
        <f>'[3]IV rok'!Y45</f>
        <v>15</v>
      </c>
      <c r="AA35" s="249">
        <f>'[3]IV rok'!Z45</f>
        <v>15</v>
      </c>
      <c r="AB35" s="249"/>
      <c r="AC35" s="249"/>
      <c r="AD35" s="249"/>
      <c r="AE35" s="249">
        <f>'[3]IV rok'!AD45</f>
        <v>25</v>
      </c>
      <c r="AF35" s="249">
        <f>'[3]IV rok'!AE45</f>
        <v>1</v>
      </c>
    </row>
    <row r="36" spans="1:32" ht="24.75" customHeight="1">
      <c r="A36" s="721"/>
      <c r="B36" s="249" t="s">
        <v>209</v>
      </c>
      <c r="C36" s="243" t="str">
        <f>'[3]IV rok'!B46</f>
        <v>Chirurgia endoskopowa i laparoskopowa</v>
      </c>
      <c r="D36" s="264" t="str">
        <f>'IV rok'!C47</f>
        <v>0912-7LEK-F27-C</v>
      </c>
      <c r="E36" s="245"/>
      <c r="F36" s="246">
        <f>'[3]IV rok'!E46</f>
        <v>8</v>
      </c>
      <c r="G36" s="247"/>
      <c r="H36" s="248"/>
      <c r="I36" s="249"/>
      <c r="J36" s="249"/>
      <c r="K36" s="249"/>
      <c r="L36" s="249"/>
      <c r="M36" s="249"/>
      <c r="N36" s="249"/>
      <c r="O36" s="249"/>
      <c r="P36" s="247"/>
      <c r="Q36" s="248">
        <f>'[3]IV rok'!P46</f>
        <v>15</v>
      </c>
      <c r="R36" s="249">
        <f>'[3]IV rok'!Q46</f>
        <v>10</v>
      </c>
      <c r="S36" s="249"/>
      <c r="T36" s="249"/>
      <c r="U36" s="249"/>
      <c r="V36" s="249"/>
      <c r="W36" s="249"/>
      <c r="X36" s="249"/>
      <c r="Y36" s="247">
        <f>'[3]IV rok'!X46</f>
        <v>1</v>
      </c>
      <c r="Z36" s="248">
        <f>'[3]IV rok'!Y46</f>
        <v>15</v>
      </c>
      <c r="AA36" s="249">
        <f>'[3]IV rok'!Z46</f>
        <v>15</v>
      </c>
      <c r="AB36" s="249"/>
      <c r="AC36" s="249"/>
      <c r="AD36" s="249"/>
      <c r="AE36" s="249">
        <f>'[3]IV rok'!AD46</f>
        <v>25</v>
      </c>
      <c r="AF36" s="249">
        <f>'[3]IV rok'!AE46</f>
        <v>1</v>
      </c>
    </row>
    <row r="37" spans="1:32" ht="24.75" customHeight="1">
      <c r="A37" s="721"/>
      <c r="B37" s="249" t="s">
        <v>210</v>
      </c>
      <c r="C37" s="243" t="str">
        <f>'[3]IV rok'!B47</f>
        <v>Pediatria - kardiologia dziecięca</v>
      </c>
      <c r="D37" s="264" t="str">
        <f>'IV rok'!C48</f>
        <v>0912-7LEK-F28-P</v>
      </c>
      <c r="E37" s="245"/>
      <c r="F37" s="246">
        <f>'[3]IV rok'!E47</f>
        <v>8</v>
      </c>
      <c r="G37" s="247"/>
      <c r="H37" s="248"/>
      <c r="I37" s="249"/>
      <c r="J37" s="249"/>
      <c r="K37" s="249"/>
      <c r="L37" s="249"/>
      <c r="M37" s="249"/>
      <c r="N37" s="249"/>
      <c r="O37" s="249"/>
      <c r="P37" s="247"/>
      <c r="Q37" s="248">
        <f>'[3]IV rok'!P47</f>
        <v>15</v>
      </c>
      <c r="R37" s="249">
        <f>'[3]IV rok'!Q47</f>
        <v>10</v>
      </c>
      <c r="S37" s="249"/>
      <c r="T37" s="249"/>
      <c r="U37" s="249"/>
      <c r="V37" s="249"/>
      <c r="W37" s="249"/>
      <c r="X37" s="249"/>
      <c r="Y37" s="247">
        <f>'[3]IV rok'!X47</f>
        <v>1</v>
      </c>
      <c r="Z37" s="248">
        <f>'[3]IV rok'!Y47</f>
        <v>15</v>
      </c>
      <c r="AA37" s="249">
        <f>'[3]IV rok'!Z47</f>
        <v>15</v>
      </c>
      <c r="AB37" s="249"/>
      <c r="AC37" s="249"/>
      <c r="AD37" s="249"/>
      <c r="AE37" s="249">
        <f>'[3]IV rok'!AD47</f>
        <v>25</v>
      </c>
      <c r="AF37" s="249">
        <f>'[3]IV rok'!AE47</f>
        <v>1</v>
      </c>
    </row>
    <row r="38" spans="1:32" ht="24.75" customHeight="1">
      <c r="A38" s="721"/>
      <c r="B38" s="249" t="s">
        <v>211</v>
      </c>
      <c r="C38" s="243" t="str">
        <f>'[3]IV rok'!B48</f>
        <v>Terapia bólu</v>
      </c>
      <c r="D38" s="264" t="str">
        <f>'IV rok'!C49</f>
        <v>0912-7LEK-F29-T</v>
      </c>
      <c r="E38" s="245"/>
      <c r="F38" s="246">
        <f>'[3]IV rok'!E48</f>
        <v>8</v>
      </c>
      <c r="G38" s="247"/>
      <c r="H38" s="248"/>
      <c r="I38" s="249"/>
      <c r="J38" s="249"/>
      <c r="K38" s="249"/>
      <c r="L38" s="249"/>
      <c r="M38" s="249"/>
      <c r="N38" s="249"/>
      <c r="O38" s="249"/>
      <c r="P38" s="247"/>
      <c r="Q38" s="248">
        <f>'[3]IV rok'!P48</f>
        <v>15</v>
      </c>
      <c r="R38" s="249">
        <f>'[3]IV rok'!Q48</f>
        <v>10</v>
      </c>
      <c r="S38" s="249"/>
      <c r="T38" s="249"/>
      <c r="U38" s="249"/>
      <c r="V38" s="249"/>
      <c r="W38" s="249"/>
      <c r="X38" s="249"/>
      <c r="Y38" s="247">
        <f>'[3]IV rok'!X48</f>
        <v>1</v>
      </c>
      <c r="Z38" s="248">
        <f>'[3]IV rok'!Y48</f>
        <v>15</v>
      </c>
      <c r="AA38" s="249">
        <f>'[3]IV rok'!Z48</f>
        <v>15</v>
      </c>
      <c r="AB38" s="249"/>
      <c r="AC38" s="249"/>
      <c r="AD38" s="249"/>
      <c r="AE38" s="249">
        <f>'[3]IV rok'!AD48</f>
        <v>25</v>
      </c>
      <c r="AF38" s="249">
        <f>'[3]IV rok'!AE48</f>
        <v>1</v>
      </c>
    </row>
    <row r="39" spans="1:32" ht="24.75" customHeight="1">
      <c r="A39" s="721"/>
      <c r="B39" s="249" t="s">
        <v>212</v>
      </c>
      <c r="C39" s="243" t="str">
        <f>'[3]IV rok'!B49</f>
        <v>Choroby płuc</v>
      </c>
      <c r="D39" s="264" t="str">
        <f>'IV rok'!C50</f>
        <v>0912-7LEK-F30-C</v>
      </c>
      <c r="E39" s="245"/>
      <c r="F39" s="246">
        <f>'[3]IV rok'!E49</f>
        <v>8</v>
      </c>
      <c r="G39" s="247"/>
      <c r="H39" s="248"/>
      <c r="I39" s="249"/>
      <c r="J39" s="249"/>
      <c r="K39" s="249"/>
      <c r="L39" s="249"/>
      <c r="M39" s="249"/>
      <c r="N39" s="249"/>
      <c r="O39" s="249"/>
      <c r="P39" s="247"/>
      <c r="Q39" s="248">
        <f>'[3]IV rok'!P49</f>
        <v>15</v>
      </c>
      <c r="R39" s="249">
        <f>'[3]IV rok'!Q49</f>
        <v>10</v>
      </c>
      <c r="S39" s="249"/>
      <c r="T39" s="249"/>
      <c r="U39" s="249"/>
      <c r="V39" s="249"/>
      <c r="W39" s="249"/>
      <c r="X39" s="249"/>
      <c r="Y39" s="247">
        <f>'[3]IV rok'!X49</f>
        <v>1</v>
      </c>
      <c r="Z39" s="248">
        <f>'[3]IV rok'!Y49</f>
        <v>15</v>
      </c>
      <c r="AA39" s="249">
        <f>'[3]IV rok'!Z49</f>
        <v>15</v>
      </c>
      <c r="AB39" s="249"/>
      <c r="AC39" s="249"/>
      <c r="AD39" s="249"/>
      <c r="AE39" s="249">
        <f>'[3]IV rok'!AD49</f>
        <v>25</v>
      </c>
      <c r="AF39" s="249">
        <f>'[3]IV rok'!AE49</f>
        <v>1</v>
      </c>
    </row>
    <row r="40" spans="1:32" ht="24.75" customHeight="1">
      <c r="A40" s="721"/>
      <c r="B40" s="249" t="s">
        <v>254</v>
      </c>
      <c r="C40" s="243" t="str">
        <f>'[3]IV rok'!B50</f>
        <v>Chirurgia naczyniowa</v>
      </c>
      <c r="D40" s="264" t="str">
        <f>'IV rok'!C51</f>
        <v>0912-7LEK-F31-C</v>
      </c>
      <c r="E40" s="245"/>
      <c r="F40" s="246">
        <f>'[3]IV rok'!E50</f>
        <v>8</v>
      </c>
      <c r="G40" s="247"/>
      <c r="H40" s="248"/>
      <c r="I40" s="249"/>
      <c r="J40" s="249"/>
      <c r="K40" s="249"/>
      <c r="L40" s="249"/>
      <c r="M40" s="249"/>
      <c r="N40" s="249"/>
      <c r="O40" s="249"/>
      <c r="P40" s="247"/>
      <c r="Q40" s="248">
        <f>'[3]IV rok'!P50</f>
        <v>15</v>
      </c>
      <c r="R40" s="249">
        <f>'[3]IV rok'!Q50</f>
        <v>10</v>
      </c>
      <c r="S40" s="249"/>
      <c r="T40" s="249"/>
      <c r="U40" s="249"/>
      <c r="V40" s="249"/>
      <c r="W40" s="249"/>
      <c r="X40" s="249"/>
      <c r="Y40" s="247">
        <f>'[3]IV rok'!X50</f>
        <v>1</v>
      </c>
      <c r="Z40" s="248">
        <f>'[3]IV rok'!Y50</f>
        <v>15</v>
      </c>
      <c r="AA40" s="249">
        <f>'[3]IV rok'!Z50</f>
        <v>15</v>
      </c>
      <c r="AB40" s="249"/>
      <c r="AC40" s="249"/>
      <c r="AD40" s="249"/>
      <c r="AE40" s="249">
        <f>'[3]IV rok'!AD50</f>
        <v>25</v>
      </c>
      <c r="AF40" s="249">
        <f>'[3]IV rok'!AE50</f>
        <v>1</v>
      </c>
    </row>
    <row r="41" spans="1:32" ht="24.75" customHeight="1">
      <c r="A41" s="721"/>
      <c r="B41" s="249" t="s">
        <v>213</v>
      </c>
      <c r="C41" s="243" t="str">
        <f>'[3]IV rok'!B51</f>
        <v>Endokrynologia dziecieca</v>
      </c>
      <c r="D41" s="264" t="e">
        <f>'IV rok'!#REF!</f>
        <v>#REF!</v>
      </c>
      <c r="E41" s="245"/>
      <c r="F41" s="246">
        <f>'[3]IV rok'!E51</f>
        <v>8</v>
      </c>
      <c r="G41" s="247"/>
      <c r="H41" s="248"/>
      <c r="I41" s="249"/>
      <c r="J41" s="249"/>
      <c r="K41" s="249"/>
      <c r="L41" s="249"/>
      <c r="M41" s="249"/>
      <c r="N41" s="249"/>
      <c r="O41" s="249"/>
      <c r="P41" s="247"/>
      <c r="Q41" s="248">
        <f>'[3]IV rok'!P51</f>
        <v>15</v>
      </c>
      <c r="R41" s="249">
        <f>'[3]IV rok'!Q51</f>
        <v>10</v>
      </c>
      <c r="S41" s="249"/>
      <c r="T41" s="249"/>
      <c r="U41" s="249"/>
      <c r="V41" s="249"/>
      <c r="W41" s="249"/>
      <c r="X41" s="249"/>
      <c r="Y41" s="247">
        <f>'[3]IV rok'!X51</f>
        <v>1</v>
      </c>
      <c r="Z41" s="248">
        <f>'[3]IV rok'!Y51</f>
        <v>15</v>
      </c>
      <c r="AA41" s="249">
        <f>'[3]IV rok'!Z51</f>
        <v>15</v>
      </c>
      <c r="AB41" s="249"/>
      <c r="AC41" s="249"/>
      <c r="AD41" s="249"/>
      <c r="AE41" s="249">
        <f>'[3]IV rok'!AD51</f>
        <v>25</v>
      </c>
      <c r="AF41" s="249">
        <f>'[3]IV rok'!AE51</f>
        <v>1</v>
      </c>
    </row>
    <row r="42" spans="1:32" ht="24.75" customHeight="1">
      <c r="A42" s="715" t="s">
        <v>162</v>
      </c>
      <c r="B42" s="718" t="str">
        <f>'V rok'!$A$51</f>
        <v>* Zajęcia fakultatywne (student wybiera z grupy 20 przedmiotów: 2 przedmioty w 9 semestrze oraz 1 przedmiot w 10 semestrze )</v>
      </c>
      <c r="C42" s="719"/>
      <c r="D42" s="719"/>
      <c r="E42" s="719"/>
      <c r="F42" s="719"/>
      <c r="G42" s="719"/>
      <c r="H42" s="719"/>
      <c r="I42" s="719"/>
      <c r="J42" s="719"/>
      <c r="K42" s="719"/>
      <c r="L42" s="719"/>
      <c r="M42" s="719"/>
      <c r="N42" s="719"/>
      <c r="O42" s="719"/>
      <c r="P42" s="719"/>
      <c r="Q42" s="719"/>
      <c r="R42" s="719"/>
      <c r="S42" s="719"/>
      <c r="T42" s="719"/>
      <c r="U42" s="719"/>
      <c r="V42" s="719"/>
      <c r="W42" s="719"/>
      <c r="X42" s="719"/>
      <c r="Y42" s="719"/>
      <c r="Z42" s="719"/>
      <c r="AA42" s="719"/>
      <c r="AB42" s="719"/>
      <c r="AC42" s="719"/>
      <c r="AD42" s="719"/>
      <c r="AE42" s="719"/>
      <c r="AF42" s="720"/>
    </row>
    <row r="43" spans="1:32" ht="24.75" customHeight="1">
      <c r="A43" s="717"/>
      <c r="B43" s="249" t="s">
        <v>214</v>
      </c>
      <c r="C43" s="243" t="str">
        <f>'[3]V rok'!B52</f>
        <v>Hipertensjologia</v>
      </c>
      <c r="D43" s="264" t="str">
        <f>'V rok'!C52</f>
        <v>0912-7LEK-F32-H</v>
      </c>
      <c r="E43" s="245"/>
      <c r="F43" s="246">
        <f>'[3]V rok'!E52</f>
        <v>9</v>
      </c>
      <c r="G43" s="247"/>
      <c r="H43" s="476">
        <f>'V rok'!G52</f>
        <v>10</v>
      </c>
      <c r="I43" s="476">
        <f>'V rok'!H52</f>
        <v>15</v>
      </c>
      <c r="J43" s="476">
        <f>'V rok'!I52</f>
        <v>15</v>
      </c>
      <c r="K43" s="476">
        <f>'V rok'!J52</f>
        <v>10</v>
      </c>
      <c r="L43" s="476"/>
      <c r="M43" s="476"/>
      <c r="N43" s="476"/>
      <c r="O43" s="476"/>
      <c r="P43" s="476">
        <f>'V rok'!O52</f>
        <v>2</v>
      </c>
      <c r="Q43" s="248"/>
      <c r="R43" s="249"/>
      <c r="S43" s="249"/>
      <c r="T43" s="249"/>
      <c r="U43" s="249"/>
      <c r="V43" s="249"/>
      <c r="W43" s="249"/>
      <c r="X43" s="249"/>
      <c r="Y43" s="247"/>
      <c r="Z43" s="476">
        <f>'V rok'!Y52</f>
        <v>25</v>
      </c>
      <c r="AA43" s="476">
        <f>'V rok'!Z52</f>
        <v>10</v>
      </c>
      <c r="AB43" s="476">
        <f>'V rok'!AA52</f>
        <v>15</v>
      </c>
      <c r="AC43" s="476">
        <f>'V rok'!AB52</f>
        <v>0</v>
      </c>
      <c r="AD43" s="476">
        <f>'V rok'!AC52</f>
        <v>0</v>
      </c>
      <c r="AE43" s="476">
        <f>'V rok'!AD52</f>
        <v>50</v>
      </c>
      <c r="AF43" s="476">
        <f>'V rok'!AE52</f>
        <v>2</v>
      </c>
    </row>
    <row r="44" spans="1:32" ht="24.75" customHeight="1">
      <c r="A44" s="717"/>
      <c r="B44" s="249" t="s">
        <v>215</v>
      </c>
      <c r="C44" s="243" t="str">
        <f>'[3]V rok'!B53</f>
        <v>Gastroenterologia dziecięca</v>
      </c>
      <c r="D44" s="264" t="str">
        <f>'V rok'!C53</f>
        <v>0912-7LEK-F33-G</v>
      </c>
      <c r="E44" s="245"/>
      <c r="F44" s="246">
        <f>'[3]V rok'!E53</f>
        <v>9</v>
      </c>
      <c r="G44" s="247"/>
      <c r="H44" s="476">
        <f>'V rok'!G53</f>
        <v>10</v>
      </c>
      <c r="I44" s="476">
        <f>'V rok'!H53</f>
        <v>15</v>
      </c>
      <c r="J44" s="476">
        <f>'V rok'!I53</f>
        <v>15</v>
      </c>
      <c r="K44" s="476">
        <f>'V rok'!J53</f>
        <v>10</v>
      </c>
      <c r="L44" s="476"/>
      <c r="M44" s="476"/>
      <c r="N44" s="476"/>
      <c r="O44" s="476"/>
      <c r="P44" s="476">
        <f>'V rok'!O53</f>
        <v>2</v>
      </c>
      <c r="Q44" s="248"/>
      <c r="R44" s="249"/>
      <c r="S44" s="249"/>
      <c r="T44" s="249"/>
      <c r="U44" s="249"/>
      <c r="V44" s="249"/>
      <c r="W44" s="249"/>
      <c r="X44" s="249"/>
      <c r="Y44" s="247"/>
      <c r="Z44" s="248">
        <f>'[3]V rok'!Y53</f>
        <v>35</v>
      </c>
      <c r="AA44" s="249">
        <f>'[3]V rok'!Z53</f>
        <v>15</v>
      </c>
      <c r="AB44" s="249">
        <f>'[3]V rok'!AA53</f>
        <v>20</v>
      </c>
      <c r="AC44" s="249"/>
      <c r="AD44" s="249"/>
      <c r="AE44" s="249">
        <f>'[3]V rok'!AD53</f>
        <v>50</v>
      </c>
      <c r="AF44" s="249">
        <f>'[3]V rok'!AE53</f>
        <v>2</v>
      </c>
    </row>
    <row r="45" spans="1:32" ht="24.75" customHeight="1">
      <c r="A45" s="717"/>
      <c r="B45" s="249" t="s">
        <v>216</v>
      </c>
      <c r="C45" s="243" t="str">
        <f>'[3]V rok'!B54</f>
        <v>Alergologia</v>
      </c>
      <c r="D45" s="264" t="str">
        <f>'V rok'!C54</f>
        <v>0912-7LEK-F34-A</v>
      </c>
      <c r="E45" s="245"/>
      <c r="F45" s="246">
        <f>'[3]V rok'!E54</f>
        <v>9</v>
      </c>
      <c r="G45" s="247"/>
      <c r="H45" s="476">
        <f>'V rok'!G54</f>
        <v>10</v>
      </c>
      <c r="I45" s="476">
        <f>'V rok'!H54</f>
        <v>15</v>
      </c>
      <c r="J45" s="476">
        <f>'V rok'!I54</f>
        <v>15</v>
      </c>
      <c r="K45" s="476">
        <f>'V rok'!J54</f>
        <v>10</v>
      </c>
      <c r="L45" s="476"/>
      <c r="M45" s="476"/>
      <c r="N45" s="476"/>
      <c r="O45" s="476"/>
      <c r="P45" s="476">
        <f>'V rok'!O54</f>
        <v>2</v>
      </c>
      <c r="Q45" s="248"/>
      <c r="R45" s="249"/>
      <c r="S45" s="249"/>
      <c r="T45" s="249"/>
      <c r="U45" s="249"/>
      <c r="V45" s="249"/>
      <c r="W45" s="249"/>
      <c r="X45" s="249"/>
      <c r="Y45" s="247"/>
      <c r="Z45" s="248">
        <f>'[3]V rok'!Y54</f>
        <v>35</v>
      </c>
      <c r="AA45" s="249">
        <f>'[3]V rok'!Z54</f>
        <v>15</v>
      </c>
      <c r="AB45" s="249">
        <f>'[3]V rok'!AA54</f>
        <v>20</v>
      </c>
      <c r="AC45" s="249"/>
      <c r="AD45" s="249"/>
      <c r="AE45" s="249">
        <f>'[3]V rok'!AD54</f>
        <v>50</v>
      </c>
      <c r="AF45" s="249">
        <f>'[3]V rok'!AE54</f>
        <v>2</v>
      </c>
    </row>
    <row r="46" spans="1:32" ht="24.75" customHeight="1">
      <c r="A46" s="717"/>
      <c r="B46" s="249" t="s">
        <v>217</v>
      </c>
      <c r="C46" s="243" t="str">
        <f>'[3]V rok'!B55</f>
        <v>Kardiologia interwencyjna</v>
      </c>
      <c r="D46" s="264" t="str">
        <f>'V rok'!C55</f>
        <v>0912-7LEK-F35-K</v>
      </c>
      <c r="E46" s="245"/>
      <c r="F46" s="246">
        <f>'[3]V rok'!E55</f>
        <v>9</v>
      </c>
      <c r="G46" s="247"/>
      <c r="H46" s="476">
        <f>'V rok'!G55</f>
        <v>10</v>
      </c>
      <c r="I46" s="476">
        <f>'V rok'!H55</f>
        <v>15</v>
      </c>
      <c r="J46" s="476">
        <f>'V rok'!I55</f>
        <v>15</v>
      </c>
      <c r="K46" s="476">
        <f>'V rok'!J55</f>
        <v>10</v>
      </c>
      <c r="L46" s="476"/>
      <c r="M46" s="476"/>
      <c r="N46" s="476"/>
      <c r="O46" s="476"/>
      <c r="P46" s="476">
        <f>'V rok'!O55</f>
        <v>2</v>
      </c>
      <c r="Q46" s="248"/>
      <c r="R46" s="249"/>
      <c r="S46" s="249"/>
      <c r="T46" s="249"/>
      <c r="U46" s="249"/>
      <c r="V46" s="249"/>
      <c r="W46" s="249"/>
      <c r="X46" s="249"/>
      <c r="Y46" s="247"/>
      <c r="Z46" s="248">
        <f>'[3]V rok'!Y55</f>
        <v>35</v>
      </c>
      <c r="AA46" s="249">
        <f>'[3]V rok'!Z55</f>
        <v>15</v>
      </c>
      <c r="AB46" s="249">
        <f>'[3]V rok'!AA55</f>
        <v>20</v>
      </c>
      <c r="AC46" s="249"/>
      <c r="AD46" s="249"/>
      <c r="AE46" s="249">
        <f>'[3]V rok'!AD55</f>
        <v>50</v>
      </c>
      <c r="AF46" s="249">
        <f>'[3]V rok'!AE55</f>
        <v>2</v>
      </c>
    </row>
    <row r="47" spans="1:32" ht="24.75" customHeight="1">
      <c r="A47" s="717"/>
      <c r="B47" s="249" t="s">
        <v>218</v>
      </c>
      <c r="C47" s="243" t="str">
        <f>'[3]V rok'!B56</f>
        <v>Żywienie kliniczne</v>
      </c>
      <c r="D47" s="264" t="str">
        <f>'V rok'!C56</f>
        <v>0912-7LEK-F36-Ż</v>
      </c>
      <c r="E47" s="245"/>
      <c r="F47" s="246">
        <f>'[3]V rok'!E56</f>
        <v>9</v>
      </c>
      <c r="G47" s="247"/>
      <c r="H47" s="476">
        <f>'V rok'!G56</f>
        <v>10</v>
      </c>
      <c r="I47" s="476">
        <f>'V rok'!H56</f>
        <v>15</v>
      </c>
      <c r="J47" s="476">
        <f>'V rok'!I56</f>
        <v>15</v>
      </c>
      <c r="K47" s="476">
        <f>'V rok'!J56</f>
        <v>10</v>
      </c>
      <c r="L47" s="476"/>
      <c r="M47" s="476"/>
      <c r="N47" s="476"/>
      <c r="O47" s="476"/>
      <c r="P47" s="476">
        <f>'V rok'!O56</f>
        <v>2</v>
      </c>
      <c r="Q47" s="248"/>
      <c r="R47" s="249"/>
      <c r="S47" s="249"/>
      <c r="T47" s="249"/>
      <c r="U47" s="249"/>
      <c r="V47" s="249"/>
      <c r="W47" s="249"/>
      <c r="X47" s="249"/>
      <c r="Y47" s="247"/>
      <c r="Z47" s="248">
        <f>'[3]V rok'!Y56</f>
        <v>35</v>
      </c>
      <c r="AA47" s="249">
        <f>'[3]V rok'!Z56</f>
        <v>15</v>
      </c>
      <c r="AB47" s="249">
        <f>'[3]V rok'!AA56</f>
        <v>20</v>
      </c>
      <c r="AC47" s="249"/>
      <c r="AD47" s="249"/>
      <c r="AE47" s="249">
        <f>'[3]V rok'!AD56</f>
        <v>50</v>
      </c>
      <c r="AF47" s="249">
        <f>'[3]V rok'!AE56</f>
        <v>2</v>
      </c>
    </row>
    <row r="48" spans="1:32" ht="24.75" customHeight="1">
      <c r="A48" s="717"/>
      <c r="B48" s="249" t="s">
        <v>219</v>
      </c>
      <c r="C48" s="243" t="str">
        <f>'[3]V rok'!B57</f>
        <v>Anastezjologia i intensywna terapia dziecięca</v>
      </c>
      <c r="D48" s="264" t="str">
        <f>'V rok'!C57</f>
        <v>0912-7LEK-F37-A</v>
      </c>
      <c r="E48" s="245"/>
      <c r="F48" s="246">
        <f>'[3]V rok'!E57</f>
        <v>9</v>
      </c>
      <c r="G48" s="247"/>
      <c r="H48" s="476">
        <f>'V rok'!G57</f>
        <v>10</v>
      </c>
      <c r="I48" s="476">
        <f>'V rok'!H57</f>
        <v>15</v>
      </c>
      <c r="J48" s="476">
        <f>'V rok'!I57</f>
        <v>15</v>
      </c>
      <c r="K48" s="476">
        <f>'V rok'!J57</f>
        <v>10</v>
      </c>
      <c r="L48" s="476"/>
      <c r="M48" s="476"/>
      <c r="N48" s="476"/>
      <c r="O48" s="476"/>
      <c r="P48" s="476">
        <f>'V rok'!O57</f>
        <v>2</v>
      </c>
      <c r="Q48" s="248"/>
      <c r="R48" s="249"/>
      <c r="S48" s="249"/>
      <c r="T48" s="249"/>
      <c r="U48" s="249"/>
      <c r="V48" s="249"/>
      <c r="W48" s="249"/>
      <c r="X48" s="249"/>
      <c r="Y48" s="247"/>
      <c r="Z48" s="248">
        <f>'[3]V rok'!Y57</f>
        <v>35</v>
      </c>
      <c r="AA48" s="249">
        <f>'[3]V rok'!Z57</f>
        <v>15</v>
      </c>
      <c r="AB48" s="249">
        <f>'[3]V rok'!AA57</f>
        <v>20</v>
      </c>
      <c r="AC48" s="249"/>
      <c r="AD48" s="249"/>
      <c r="AE48" s="249">
        <f>'[3]V rok'!AD57</f>
        <v>50</v>
      </c>
      <c r="AF48" s="249">
        <f>'[3]V rok'!AE57</f>
        <v>2</v>
      </c>
    </row>
    <row r="49" spans="1:32" ht="24.75" customHeight="1">
      <c r="A49" s="717"/>
      <c r="B49" s="249" t="s">
        <v>220</v>
      </c>
      <c r="C49" s="243" t="s">
        <v>357</v>
      </c>
      <c r="D49" s="264" t="str">
        <f>'V rok'!C58</f>
        <v>0912-7LEK-F38-L</v>
      </c>
      <c r="E49" s="245"/>
      <c r="F49" s="246">
        <f>'[3]V rok'!E58</f>
        <v>9</v>
      </c>
      <c r="G49" s="247"/>
      <c r="H49" s="476">
        <f>'V rok'!G58</f>
        <v>10</v>
      </c>
      <c r="I49" s="476">
        <f>'V rok'!H58</f>
        <v>15</v>
      </c>
      <c r="J49" s="476">
        <f>'V rok'!I58</f>
        <v>15</v>
      </c>
      <c r="K49" s="476">
        <f>'V rok'!J58</f>
        <v>10</v>
      </c>
      <c r="L49" s="476"/>
      <c r="M49" s="476"/>
      <c r="N49" s="476"/>
      <c r="O49" s="476"/>
      <c r="P49" s="476">
        <f>'V rok'!O58</f>
        <v>2</v>
      </c>
      <c r="Q49" s="248"/>
      <c r="R49" s="249"/>
      <c r="S49" s="249"/>
      <c r="T49" s="249"/>
      <c r="U49" s="249"/>
      <c r="V49" s="249"/>
      <c r="W49" s="249"/>
      <c r="X49" s="249"/>
      <c r="Y49" s="247"/>
      <c r="Z49" s="248">
        <f>'[3]V rok'!Y58</f>
        <v>35</v>
      </c>
      <c r="AA49" s="249">
        <f>'[3]V rok'!Z58</f>
        <v>15</v>
      </c>
      <c r="AB49" s="249">
        <f>'[3]V rok'!AA58</f>
        <v>20</v>
      </c>
      <c r="AC49" s="249"/>
      <c r="AD49" s="249"/>
      <c r="AE49" s="249">
        <f>'[3]V rok'!AD58</f>
        <v>50</v>
      </c>
      <c r="AF49" s="249">
        <f>'[3]V rok'!AE58</f>
        <v>2</v>
      </c>
    </row>
    <row r="50" spans="1:32" ht="24.75" customHeight="1">
      <c r="A50" s="717"/>
      <c r="B50" s="249" t="s">
        <v>221</v>
      </c>
      <c r="C50" s="243" t="str">
        <f>'[3]V rok'!B59</f>
        <v>Elektrokardiografia</v>
      </c>
      <c r="D50" s="264" t="str">
        <f>'V rok'!C59</f>
        <v>0912-7LEK-F39-E</v>
      </c>
      <c r="E50" s="245"/>
      <c r="F50" s="246">
        <f>'[3]V rok'!E59</f>
        <v>9</v>
      </c>
      <c r="G50" s="247"/>
      <c r="H50" s="476">
        <f>'V rok'!G59</f>
        <v>10</v>
      </c>
      <c r="I50" s="476">
        <f>'V rok'!H59</f>
        <v>15</v>
      </c>
      <c r="J50" s="476">
        <f>'V rok'!I59</f>
        <v>15</v>
      </c>
      <c r="K50" s="476">
        <f>'V rok'!J59</f>
        <v>10</v>
      </c>
      <c r="L50" s="476"/>
      <c r="M50" s="476"/>
      <c r="N50" s="476"/>
      <c r="O50" s="476"/>
      <c r="P50" s="476">
        <f>'V rok'!O59</f>
        <v>2</v>
      </c>
      <c r="Q50" s="248"/>
      <c r="R50" s="249"/>
      <c r="S50" s="249"/>
      <c r="T50" s="249"/>
      <c r="U50" s="249"/>
      <c r="V50" s="249"/>
      <c r="W50" s="249"/>
      <c r="X50" s="249"/>
      <c r="Y50" s="247"/>
      <c r="Z50" s="248">
        <f>'[3]V rok'!Y59</f>
        <v>35</v>
      </c>
      <c r="AA50" s="249">
        <f>'[3]V rok'!Z59</f>
        <v>15</v>
      </c>
      <c r="AB50" s="249">
        <f>'[3]V rok'!AA59</f>
        <v>20</v>
      </c>
      <c r="AC50" s="249"/>
      <c r="AD50" s="249"/>
      <c r="AE50" s="249">
        <f>'[3]V rok'!AD59</f>
        <v>50</v>
      </c>
      <c r="AF50" s="249">
        <f>'[3]V rok'!AE59</f>
        <v>2</v>
      </c>
    </row>
    <row r="51" spans="1:32" ht="24.75" customHeight="1">
      <c r="A51" s="717"/>
      <c r="B51" s="249" t="s">
        <v>222</v>
      </c>
      <c r="C51" s="243" t="str">
        <f>'[3]V rok'!B60</f>
        <v>Traumatologia dziecięca</v>
      </c>
      <c r="D51" s="264" t="str">
        <f>'V rok'!C60</f>
        <v>0912-7LEK-F40-T</v>
      </c>
      <c r="E51" s="245"/>
      <c r="F51" s="246">
        <f>'[3]V rok'!E60</f>
        <v>9</v>
      </c>
      <c r="G51" s="247"/>
      <c r="H51" s="476">
        <f>'V rok'!G60</f>
        <v>10</v>
      </c>
      <c r="I51" s="476">
        <f>'V rok'!H60</f>
        <v>15</v>
      </c>
      <c r="J51" s="476">
        <f>'V rok'!I60</f>
        <v>15</v>
      </c>
      <c r="K51" s="476">
        <f>'V rok'!J60</f>
        <v>10</v>
      </c>
      <c r="L51" s="476"/>
      <c r="M51" s="476"/>
      <c r="N51" s="476"/>
      <c r="O51" s="476"/>
      <c r="P51" s="476">
        <f>'V rok'!O60</f>
        <v>2</v>
      </c>
      <c r="Q51" s="248"/>
      <c r="R51" s="249"/>
      <c r="S51" s="249"/>
      <c r="T51" s="249"/>
      <c r="U51" s="249"/>
      <c r="V51" s="249"/>
      <c r="W51" s="249"/>
      <c r="X51" s="249"/>
      <c r="Y51" s="247"/>
      <c r="Z51" s="248">
        <f>'[3]V rok'!Y60</f>
        <v>35</v>
      </c>
      <c r="AA51" s="249">
        <f>'[3]V rok'!Z60</f>
        <v>15</v>
      </c>
      <c r="AB51" s="249">
        <f>'[3]V rok'!AA60</f>
        <v>20</v>
      </c>
      <c r="AC51" s="249"/>
      <c r="AD51" s="249"/>
      <c r="AE51" s="249">
        <f>'[3]V rok'!AD60</f>
        <v>50</v>
      </c>
      <c r="AF51" s="249">
        <f>'[3]V rok'!AE60</f>
        <v>2</v>
      </c>
    </row>
    <row r="52" spans="1:32" ht="24.75" customHeight="1">
      <c r="A52" s="717"/>
      <c r="B52" s="249" t="s">
        <v>223</v>
      </c>
      <c r="C52" s="243" t="str">
        <f>'[3]V rok'!B61</f>
        <v>Diagnostyka obrazowa w stanach nagłych</v>
      </c>
      <c r="D52" s="264" t="str">
        <f>'V rok'!C61</f>
        <v>0912-7LEK-F41-D</v>
      </c>
      <c r="E52" s="245"/>
      <c r="F52" s="246">
        <f>'[3]V rok'!E61</f>
        <v>9</v>
      </c>
      <c r="G52" s="247"/>
      <c r="H52" s="476">
        <f>'V rok'!G61</f>
        <v>10</v>
      </c>
      <c r="I52" s="476">
        <f>'V rok'!H61</f>
        <v>15</v>
      </c>
      <c r="J52" s="476">
        <f>'V rok'!I61</f>
        <v>15</v>
      </c>
      <c r="K52" s="476">
        <f>'V rok'!J61</f>
        <v>10</v>
      </c>
      <c r="L52" s="476"/>
      <c r="M52" s="476"/>
      <c r="N52" s="476"/>
      <c r="O52" s="476"/>
      <c r="P52" s="476">
        <f>'V rok'!O61</f>
        <v>2</v>
      </c>
      <c r="Q52" s="248"/>
      <c r="R52" s="249"/>
      <c r="S52" s="249"/>
      <c r="T52" s="249"/>
      <c r="U52" s="249"/>
      <c r="V52" s="249"/>
      <c r="W52" s="249"/>
      <c r="X52" s="249"/>
      <c r="Y52" s="247"/>
      <c r="Z52" s="248">
        <f>'[3]V rok'!Y61</f>
        <v>35</v>
      </c>
      <c r="AA52" s="249">
        <f>'[3]V rok'!Z61</f>
        <v>15</v>
      </c>
      <c r="AB52" s="249">
        <f>'[3]V rok'!AA61</f>
        <v>20</v>
      </c>
      <c r="AC52" s="249"/>
      <c r="AD52" s="249"/>
      <c r="AE52" s="249">
        <f>'[3]V rok'!AD61</f>
        <v>50</v>
      </c>
      <c r="AF52" s="249">
        <f>'[3]V rok'!AE61</f>
        <v>2</v>
      </c>
    </row>
    <row r="53" spans="1:32" ht="24.75" customHeight="1">
      <c r="A53" s="717"/>
      <c r="B53" s="249" t="s">
        <v>224</v>
      </c>
      <c r="C53" s="243" t="str">
        <f>'[3]V rok'!B62</f>
        <v>Radioterapia</v>
      </c>
      <c r="D53" s="264" t="str">
        <f>'V rok'!C62</f>
        <v>0912-7LEK-F42-R</v>
      </c>
      <c r="E53" s="245"/>
      <c r="F53" s="246">
        <f>'[3]V rok'!E62</f>
        <v>9</v>
      </c>
      <c r="G53" s="247"/>
      <c r="H53" s="476">
        <f>'V rok'!G62</f>
        <v>10</v>
      </c>
      <c r="I53" s="476">
        <f>'V rok'!H62</f>
        <v>15</v>
      </c>
      <c r="J53" s="476">
        <f>'V rok'!I62</f>
        <v>15</v>
      </c>
      <c r="K53" s="476">
        <f>'V rok'!J62</f>
        <v>10</v>
      </c>
      <c r="L53" s="476"/>
      <c r="M53" s="476"/>
      <c r="N53" s="476"/>
      <c r="O53" s="476"/>
      <c r="P53" s="476">
        <f>'V rok'!O62</f>
        <v>2</v>
      </c>
      <c r="Q53" s="248"/>
      <c r="R53" s="249"/>
      <c r="S53" s="249"/>
      <c r="T53" s="249"/>
      <c r="U53" s="249"/>
      <c r="V53" s="249"/>
      <c r="W53" s="249"/>
      <c r="X53" s="249"/>
      <c r="Y53" s="247"/>
      <c r="Z53" s="248">
        <f>'[3]V rok'!Y62</f>
        <v>35</v>
      </c>
      <c r="AA53" s="249">
        <f>'[3]V rok'!Z62</f>
        <v>15</v>
      </c>
      <c r="AB53" s="249">
        <f>'[3]V rok'!AA62</f>
        <v>20</v>
      </c>
      <c r="AC53" s="249"/>
      <c r="AD53" s="249"/>
      <c r="AE53" s="249">
        <f>'[3]V rok'!AD62</f>
        <v>50</v>
      </c>
      <c r="AF53" s="249">
        <f>'[3]V rok'!AE62</f>
        <v>2</v>
      </c>
    </row>
    <row r="54" spans="1:32" ht="24.75" customHeight="1">
      <c r="A54" s="717"/>
      <c r="B54" s="249" t="s">
        <v>225</v>
      </c>
      <c r="C54" s="243" t="str">
        <f>'[3]V rok'!B63</f>
        <v>Znaczenie profili genetycznych w leczeniu onkologicznym</v>
      </c>
      <c r="D54" s="264" t="str">
        <f>'V rok'!C63</f>
        <v>0912-7LEK-F43-Z</v>
      </c>
      <c r="E54" s="245"/>
      <c r="F54" s="246">
        <f>'[3]V rok'!E63</f>
        <v>9</v>
      </c>
      <c r="G54" s="247"/>
      <c r="H54" s="476">
        <f>'V rok'!G63</f>
        <v>10</v>
      </c>
      <c r="I54" s="476">
        <f>'V rok'!H63</f>
        <v>15</v>
      </c>
      <c r="J54" s="476">
        <f>'V rok'!I63</f>
        <v>15</v>
      </c>
      <c r="K54" s="476">
        <f>'V rok'!J63</f>
        <v>10</v>
      </c>
      <c r="L54" s="476"/>
      <c r="M54" s="476"/>
      <c r="N54" s="476"/>
      <c r="O54" s="476"/>
      <c r="P54" s="476">
        <f>'V rok'!O63</f>
        <v>2</v>
      </c>
      <c r="Q54" s="248"/>
      <c r="R54" s="249"/>
      <c r="S54" s="249"/>
      <c r="T54" s="249"/>
      <c r="U54" s="249"/>
      <c r="V54" s="249"/>
      <c r="W54" s="249"/>
      <c r="X54" s="249"/>
      <c r="Y54" s="247"/>
      <c r="Z54" s="248">
        <f>'[3]V rok'!Y63</f>
        <v>35</v>
      </c>
      <c r="AA54" s="249">
        <f>'[3]V rok'!Z63</f>
        <v>15</v>
      </c>
      <c r="AB54" s="249">
        <f>'[3]V rok'!AA63</f>
        <v>20</v>
      </c>
      <c r="AC54" s="249"/>
      <c r="AD54" s="249"/>
      <c r="AE54" s="249">
        <f>'[3]V rok'!AD63</f>
        <v>50</v>
      </c>
      <c r="AF54" s="249">
        <f>'[3]V rok'!AE63</f>
        <v>2</v>
      </c>
    </row>
    <row r="55" spans="1:32" ht="24.75" customHeight="1" thickBot="1">
      <c r="A55" s="717"/>
      <c r="B55" s="249" t="s">
        <v>226</v>
      </c>
      <c r="C55" s="454" t="str">
        <f>'[3]V rok'!B64</f>
        <v>Chirurgia bariatryczna</v>
      </c>
      <c r="D55" s="460" t="str">
        <f>'V rok'!C64</f>
        <v>0912-7LEK-F44-C</v>
      </c>
      <c r="E55" s="278"/>
      <c r="F55" s="279">
        <f>'[3]V rok'!E64</f>
        <v>9</v>
      </c>
      <c r="G55" s="280"/>
      <c r="H55" s="476">
        <f>'V rok'!G64</f>
        <v>10</v>
      </c>
      <c r="I55" s="476">
        <f>'V rok'!H64</f>
        <v>15</v>
      </c>
      <c r="J55" s="476">
        <f>'V rok'!I64</f>
        <v>15</v>
      </c>
      <c r="K55" s="476">
        <f>'V rok'!J64</f>
        <v>10</v>
      </c>
      <c r="L55" s="476"/>
      <c r="M55" s="476"/>
      <c r="N55" s="476"/>
      <c r="O55" s="476"/>
      <c r="P55" s="476">
        <f>'V rok'!O64</f>
        <v>2</v>
      </c>
      <c r="Q55" s="281"/>
      <c r="R55" s="282"/>
      <c r="S55" s="282"/>
      <c r="T55" s="282"/>
      <c r="U55" s="282"/>
      <c r="V55" s="282"/>
      <c r="W55" s="282"/>
      <c r="X55" s="282"/>
      <c r="Y55" s="280"/>
      <c r="Z55" s="281">
        <f>'[3]V rok'!Y64</f>
        <v>35</v>
      </c>
      <c r="AA55" s="282">
        <f>'[3]V rok'!Z64</f>
        <v>15</v>
      </c>
      <c r="AB55" s="282"/>
      <c r="AC55" s="282"/>
      <c r="AD55" s="282"/>
      <c r="AE55" s="282">
        <f>'[3]V rok'!AD64</f>
        <v>50</v>
      </c>
      <c r="AF55" s="282">
        <f>'[3]V rok'!AE64</f>
        <v>2</v>
      </c>
    </row>
    <row r="56" spans="1:32" ht="24.75" customHeight="1">
      <c r="A56" s="717"/>
      <c r="B56" s="249" t="s">
        <v>227</v>
      </c>
      <c r="C56" s="283" t="str">
        <f>'[3]V rok'!B65</f>
        <v>Psychiatria dorosłych</v>
      </c>
      <c r="D56" s="461" t="str">
        <f>'V rok'!C65</f>
        <v>0912-7LEK-F45-P</v>
      </c>
      <c r="E56" s="285"/>
      <c r="F56" s="286">
        <f>'[3]V rok'!E65</f>
        <v>9</v>
      </c>
      <c r="G56" s="287"/>
      <c r="H56" s="476">
        <f>'V rok'!G65</f>
        <v>0</v>
      </c>
      <c r="I56" s="476">
        <f>'V rok'!H65</f>
        <v>0</v>
      </c>
      <c r="J56" s="476">
        <f>'V rok'!I65</f>
        <v>15</v>
      </c>
      <c r="K56" s="476">
        <f>'V rok'!J65</f>
        <v>10</v>
      </c>
      <c r="L56" s="476"/>
      <c r="M56" s="476"/>
      <c r="N56" s="476"/>
      <c r="O56" s="476"/>
      <c r="P56" s="476">
        <f>'V rok'!O65</f>
        <v>1</v>
      </c>
      <c r="Q56" s="285"/>
      <c r="R56" s="289"/>
      <c r="S56" s="289"/>
      <c r="T56" s="289"/>
      <c r="U56" s="289"/>
      <c r="V56" s="289"/>
      <c r="W56" s="289"/>
      <c r="X56" s="289"/>
      <c r="Y56" s="287"/>
      <c r="Z56" s="288">
        <f>'[3]V rok'!Y65</f>
        <v>15</v>
      </c>
      <c r="AA56" s="289">
        <f>'[3]V rok'!Z65</f>
        <v>15</v>
      </c>
      <c r="AB56" s="289"/>
      <c r="AC56" s="289"/>
      <c r="AD56" s="289"/>
      <c r="AE56" s="289">
        <f>'[3]V rok'!AD65</f>
        <v>25</v>
      </c>
      <c r="AF56" s="289">
        <f>'[3]V rok'!AE65</f>
        <v>1</v>
      </c>
    </row>
    <row r="57" spans="1:32" ht="24.75" customHeight="1">
      <c r="A57" s="717"/>
      <c r="B57" s="249" t="s">
        <v>228</v>
      </c>
      <c r="C57" s="243" t="s">
        <v>272</v>
      </c>
      <c r="D57" s="264" t="str">
        <f>'V rok'!C66</f>
        <v>0912-7LEK-F46-B</v>
      </c>
      <c r="E57" s="245"/>
      <c r="F57" s="246">
        <f>'[3]V rok'!E66</f>
        <v>9</v>
      </c>
      <c r="G57" s="247"/>
      <c r="H57" s="476">
        <f>'V rok'!G66</f>
        <v>0</v>
      </c>
      <c r="I57" s="476">
        <f>'V rok'!H66</f>
        <v>0</v>
      </c>
      <c r="J57" s="476">
        <f>'V rok'!I66</f>
        <v>0</v>
      </c>
      <c r="K57" s="476">
        <f>'V rok'!J66</f>
        <v>0</v>
      </c>
      <c r="L57" s="476"/>
      <c r="M57" s="476"/>
      <c r="N57" s="476"/>
      <c r="O57" s="476"/>
      <c r="P57" s="476">
        <f>'V rok'!O66</f>
        <v>0</v>
      </c>
      <c r="Q57" s="245"/>
      <c r="R57" s="249"/>
      <c r="S57" s="249"/>
      <c r="T57" s="249"/>
      <c r="U57" s="249"/>
      <c r="V57" s="249"/>
      <c r="W57" s="249"/>
      <c r="X57" s="249"/>
      <c r="Y57" s="247"/>
      <c r="Z57" s="248">
        <f>'[3]V rok'!Y66</f>
        <v>15</v>
      </c>
      <c r="AA57" s="249">
        <f>'[3]V rok'!Z66</f>
        <v>15</v>
      </c>
      <c r="AB57" s="249"/>
      <c r="AC57" s="249"/>
      <c r="AD57" s="249"/>
      <c r="AE57" s="249">
        <f>'[3]V rok'!AD66</f>
        <v>25</v>
      </c>
      <c r="AF57" s="249">
        <f>'[3]V rok'!AE66</f>
        <v>1</v>
      </c>
    </row>
    <row r="58" spans="1:32" ht="24.75" customHeight="1">
      <c r="A58" s="717"/>
      <c r="B58" s="249" t="s">
        <v>229</v>
      </c>
      <c r="C58" s="243" t="str">
        <f>'[3]V rok'!B67</f>
        <v>Metodyka pisania prac naukowych</v>
      </c>
      <c r="D58" s="264" t="str">
        <f>'V rok'!C67</f>
        <v>0912-7LEK-F47-M</v>
      </c>
      <c r="E58" s="245"/>
      <c r="F58" s="246">
        <f>'[3]V rok'!E67</f>
        <v>9</v>
      </c>
      <c r="G58" s="247"/>
      <c r="H58" s="476">
        <f>'V rok'!G67</f>
        <v>0</v>
      </c>
      <c r="I58" s="476">
        <f>'V rok'!H67</f>
        <v>0</v>
      </c>
      <c r="J58" s="476">
        <f>'V rok'!I67</f>
        <v>15</v>
      </c>
      <c r="K58" s="476">
        <f>'V rok'!J67</f>
        <v>10</v>
      </c>
      <c r="L58" s="476"/>
      <c r="M58" s="476"/>
      <c r="N58" s="476"/>
      <c r="O58" s="476"/>
      <c r="P58" s="476">
        <f>'V rok'!O67</f>
        <v>1</v>
      </c>
      <c r="Q58" s="245"/>
      <c r="R58" s="249"/>
      <c r="S58" s="249"/>
      <c r="T58" s="249"/>
      <c r="U58" s="249"/>
      <c r="V58" s="249"/>
      <c r="W58" s="249"/>
      <c r="X58" s="249"/>
      <c r="Y58" s="247"/>
      <c r="Z58" s="248">
        <f>'[3]V rok'!Y67</f>
        <v>15</v>
      </c>
      <c r="AA58" s="249">
        <f>'[3]V rok'!Z67</f>
        <v>15</v>
      </c>
      <c r="AB58" s="249"/>
      <c r="AC58" s="249"/>
      <c r="AD58" s="249"/>
      <c r="AE58" s="249">
        <f>'[3]V rok'!AD67</f>
        <v>25</v>
      </c>
      <c r="AF58" s="249">
        <f>'[3]V rok'!AE67</f>
        <v>1</v>
      </c>
    </row>
    <row r="59" spans="1:32" ht="24.75" customHeight="1">
      <c r="A59" s="717"/>
      <c r="B59" s="249" t="s">
        <v>230</v>
      </c>
      <c r="C59" s="243" t="str">
        <f>'[3]V rok'!B68</f>
        <v>Choroby metaboliczne</v>
      </c>
      <c r="D59" s="264" t="str">
        <f>'V rok'!C68</f>
        <v>0912-7LEK-F48-C</v>
      </c>
      <c r="E59" s="245"/>
      <c r="F59" s="246">
        <f>'[3]V rok'!E68</f>
        <v>10</v>
      </c>
      <c r="G59" s="247"/>
      <c r="H59" s="248"/>
      <c r="I59" s="249"/>
      <c r="J59" s="249"/>
      <c r="K59" s="249"/>
      <c r="L59" s="249"/>
      <c r="M59" s="249"/>
      <c r="N59" s="249"/>
      <c r="O59" s="249"/>
      <c r="P59" s="255"/>
      <c r="Q59" s="245"/>
      <c r="R59" s="249"/>
      <c r="S59" s="245">
        <v>10</v>
      </c>
      <c r="T59" s="245">
        <v>5</v>
      </c>
      <c r="U59" s="245">
        <v>10</v>
      </c>
      <c r="V59" s="249"/>
      <c r="W59" s="249"/>
      <c r="X59" s="249"/>
      <c r="Y59" s="247">
        <f>'[3]V rok'!X68</f>
        <v>1</v>
      </c>
      <c r="Z59" s="248" t="s">
        <v>152</v>
      </c>
      <c r="AA59" s="249"/>
      <c r="AB59" s="249" t="s">
        <v>132</v>
      </c>
      <c r="AC59" s="249" t="s">
        <v>132</v>
      </c>
      <c r="AD59" s="249"/>
      <c r="AE59" s="249">
        <f>'[3]V rok'!AD68</f>
        <v>25</v>
      </c>
      <c r="AF59" s="249">
        <f>'[3]V rok'!AE68</f>
        <v>1</v>
      </c>
    </row>
    <row r="60" spans="1:32" ht="24.75" customHeight="1">
      <c r="A60" s="717"/>
      <c r="B60" s="249" t="s">
        <v>231</v>
      </c>
      <c r="C60" s="243" t="str">
        <f>'[3]V rok'!B69</f>
        <v>Farmakogenetyka</v>
      </c>
      <c r="D60" s="264" t="str">
        <f>'V rok'!C69</f>
        <v>0912-7LEK-F49-F</v>
      </c>
      <c r="E60" s="245"/>
      <c r="F60" s="246">
        <f>'[3]V rok'!E69</f>
        <v>10</v>
      </c>
      <c r="G60" s="247"/>
      <c r="H60" s="248"/>
      <c r="I60" s="249"/>
      <c r="J60" s="249"/>
      <c r="K60" s="249"/>
      <c r="L60" s="249"/>
      <c r="M60" s="249"/>
      <c r="N60" s="249"/>
      <c r="O60" s="249"/>
      <c r="P60" s="255"/>
      <c r="Q60" s="245">
        <f>'[3]V rok'!P69</f>
        <v>15</v>
      </c>
      <c r="R60" s="249">
        <f>'[3]V rok'!Q69</f>
        <v>10</v>
      </c>
      <c r="S60" s="249"/>
      <c r="T60" s="249"/>
      <c r="U60" s="249"/>
      <c r="V60" s="249"/>
      <c r="W60" s="249"/>
      <c r="X60" s="249"/>
      <c r="Y60" s="247">
        <f>'[3]V rok'!X69</f>
        <v>1</v>
      </c>
      <c r="Z60" s="248">
        <f>'[3]V rok'!Y69</f>
        <v>15</v>
      </c>
      <c r="AA60" s="249">
        <f>'[3]V rok'!Z69</f>
        <v>15</v>
      </c>
      <c r="AB60" s="249"/>
      <c r="AC60" s="249"/>
      <c r="AD60" s="249"/>
      <c r="AE60" s="249">
        <f>'[3]V rok'!AD69</f>
        <v>25</v>
      </c>
      <c r="AF60" s="249">
        <f>'[3]V rok'!AE69</f>
        <v>1</v>
      </c>
    </row>
    <row r="61" spans="1:32" ht="24.75" customHeight="1">
      <c r="A61" s="717"/>
      <c r="B61" s="249" t="s">
        <v>232</v>
      </c>
      <c r="C61" s="243" t="str">
        <f>'[3]V rok'!B70</f>
        <v>Psychiatria dzieci i młodzieży</v>
      </c>
      <c r="D61" s="264" t="str">
        <f>'V rok'!C70</f>
        <v>0912-7LEK-F50-P</v>
      </c>
      <c r="E61" s="245"/>
      <c r="F61" s="246">
        <f>'[3]V rok'!E70</f>
        <v>10</v>
      </c>
      <c r="G61" s="247"/>
      <c r="H61" s="248"/>
      <c r="I61" s="249"/>
      <c r="J61" s="249"/>
      <c r="K61" s="249"/>
      <c r="L61" s="249"/>
      <c r="M61" s="249"/>
      <c r="N61" s="249"/>
      <c r="O61" s="249"/>
      <c r="P61" s="255"/>
      <c r="Q61" s="245">
        <f>'[3]V rok'!P70</f>
        <v>15</v>
      </c>
      <c r="R61" s="249">
        <f>'[3]V rok'!Q70</f>
        <v>10</v>
      </c>
      <c r="S61" s="249"/>
      <c r="T61" s="249"/>
      <c r="U61" s="249"/>
      <c r="V61" s="249"/>
      <c r="W61" s="249"/>
      <c r="X61" s="249"/>
      <c r="Y61" s="247">
        <f>'[3]V rok'!X70</f>
        <v>1</v>
      </c>
      <c r="Z61" s="248">
        <f>'[3]V rok'!Y70</f>
        <v>15</v>
      </c>
      <c r="AA61" s="249">
        <f>'[3]V rok'!Z70</f>
        <v>15</v>
      </c>
      <c r="AB61" s="249"/>
      <c r="AC61" s="249"/>
      <c r="AD61" s="249"/>
      <c r="AE61" s="249">
        <f>'[3]V rok'!AD70</f>
        <v>25</v>
      </c>
      <c r="AF61" s="249">
        <f>'[3]V rok'!AE70</f>
        <v>1</v>
      </c>
    </row>
    <row r="62" spans="1:32" ht="24.75" customHeight="1">
      <c r="A62" s="716"/>
      <c r="B62" s="249" t="s">
        <v>233</v>
      </c>
      <c r="C62" s="243" t="str">
        <f>'[3]V rok'!B71</f>
        <v>Radiologia w pediatrii</v>
      </c>
      <c r="D62" s="264" t="str">
        <f>'V rok'!C71</f>
        <v>0912-7LEK-F51-R</v>
      </c>
      <c r="E62" s="245"/>
      <c r="F62" s="246">
        <f>'[3]V rok'!E71</f>
        <v>10</v>
      </c>
      <c r="G62" s="247"/>
      <c r="H62" s="248"/>
      <c r="I62" s="249"/>
      <c r="J62" s="249"/>
      <c r="K62" s="249"/>
      <c r="L62" s="249"/>
      <c r="M62" s="249"/>
      <c r="N62" s="249"/>
      <c r="O62" s="249"/>
      <c r="P62" s="255"/>
      <c r="Q62" s="245">
        <f>'[3]V rok'!P71</f>
        <v>15</v>
      </c>
      <c r="R62" s="249">
        <f>'[3]V rok'!Q71</f>
        <v>10</v>
      </c>
      <c r="S62" s="249"/>
      <c r="T62" s="249"/>
      <c r="U62" s="249"/>
      <c r="V62" s="249"/>
      <c r="W62" s="249"/>
      <c r="X62" s="249"/>
      <c r="Y62" s="247">
        <f>'[3]V rok'!X71</f>
        <v>1</v>
      </c>
      <c r="Z62" s="248">
        <f>'[3]V rok'!Y71</f>
        <v>15</v>
      </c>
      <c r="AA62" s="249">
        <f>'[3]V rok'!Z71</f>
        <v>15</v>
      </c>
      <c r="AB62" s="249"/>
      <c r="AC62" s="249"/>
      <c r="AD62" s="249"/>
      <c r="AE62" s="249">
        <f>'[3]V rok'!AD71</f>
        <v>25</v>
      </c>
      <c r="AF62" s="249">
        <f>'[3]V rok'!AE71</f>
        <v>1</v>
      </c>
    </row>
    <row r="63" spans="1:32" ht="196.5" customHeight="1">
      <c r="A63" s="459" t="s">
        <v>162</v>
      </c>
      <c r="B63" s="249" t="s">
        <v>234</v>
      </c>
      <c r="C63" s="254" t="s">
        <v>265</v>
      </c>
      <c r="D63" s="264" t="str">
        <f>'V rok'!C73</f>
        <v>0912-7LEK-F53-Z</v>
      </c>
      <c r="E63" s="245"/>
      <c r="F63" s="246" t="str">
        <f>'[3]V rok'!E72</f>
        <v>9-12</v>
      </c>
      <c r="G63" s="247"/>
      <c r="H63" s="248">
        <f>'[3]V rok'!G72</f>
        <v>0</v>
      </c>
      <c r="I63" s="249">
        <f>'[3]V rok'!H72</f>
        <v>0</v>
      </c>
      <c r="J63" s="249">
        <f>'[3]V rok'!I72</f>
        <v>45</v>
      </c>
      <c r="K63" s="249">
        <f>'[3]V rok'!J72</f>
        <v>30</v>
      </c>
      <c r="L63" s="249"/>
      <c r="M63" s="249"/>
      <c r="N63" s="249"/>
      <c r="O63" s="249"/>
      <c r="P63" s="247">
        <f>'[3]V rok'!O72</f>
        <v>3</v>
      </c>
      <c r="Q63" s="248"/>
      <c r="R63" s="249"/>
      <c r="S63" s="249">
        <f>'[3]V rok'!R72</f>
        <v>30</v>
      </c>
      <c r="T63" s="249">
        <f>'[3]V rok'!S72</f>
        <v>20</v>
      </c>
      <c r="U63" s="249"/>
      <c r="V63" s="249"/>
      <c r="W63" s="249"/>
      <c r="X63" s="249"/>
      <c r="Y63" s="247">
        <f>'[3]V rok'!X72</f>
        <v>2</v>
      </c>
      <c r="Z63" s="248">
        <f>'[3]V rok'!Y72</f>
        <v>75</v>
      </c>
      <c r="AA63" s="249">
        <f>'[3]V rok'!Z72</f>
        <v>0</v>
      </c>
      <c r="AB63" s="249">
        <f>'[3]V rok'!AA72</f>
        <v>75</v>
      </c>
      <c r="AC63" s="249"/>
      <c r="AD63" s="249"/>
      <c r="AE63" s="249">
        <f>'[3]V rok'!AD72</f>
        <v>125</v>
      </c>
      <c r="AF63" s="249">
        <f>'[3]V rok'!AE72</f>
        <v>5</v>
      </c>
    </row>
    <row r="64" spans="1:32" ht="204" customHeight="1">
      <c r="A64" s="715" t="s">
        <v>196</v>
      </c>
      <c r="B64" s="249" t="s">
        <v>235</v>
      </c>
      <c r="C64" s="254" t="s">
        <v>264</v>
      </c>
      <c r="D64" s="264" t="e">
        <f>#REF!</f>
        <v>#REF!</v>
      </c>
      <c r="E64" s="245"/>
      <c r="F64" s="249" t="str">
        <f>'[3]VI rok'!E23</f>
        <v>11-12</v>
      </c>
      <c r="G64" s="247"/>
      <c r="H64" s="248">
        <f>'[3]VI rok'!G23</f>
        <v>0</v>
      </c>
      <c r="I64" s="249">
        <f>'[3]VI rok'!H23</f>
        <v>0</v>
      </c>
      <c r="J64" s="249">
        <f>'[3]VI rok'!I23</f>
        <v>30</v>
      </c>
      <c r="K64" s="249">
        <f>'[3]VI rok'!J23</f>
        <v>20</v>
      </c>
      <c r="L64" s="249"/>
      <c r="M64" s="249"/>
      <c r="N64" s="249"/>
      <c r="O64" s="249"/>
      <c r="P64" s="255">
        <f>'[3]VI rok'!O23</f>
        <v>2</v>
      </c>
      <c r="Q64" s="245"/>
      <c r="R64" s="249"/>
      <c r="S64" s="249">
        <f>'[3]VI rok'!R23</f>
        <v>30</v>
      </c>
      <c r="T64" s="249">
        <f>'[3]VI rok'!S23</f>
        <v>20</v>
      </c>
      <c r="U64" s="249"/>
      <c r="V64" s="249"/>
      <c r="W64" s="249"/>
      <c r="X64" s="249"/>
      <c r="Y64" s="247">
        <f>'[3]VI rok'!X23</f>
        <v>2</v>
      </c>
      <c r="Z64" s="248">
        <f>'[3]VI rok'!Y23</f>
        <v>60</v>
      </c>
      <c r="AA64" s="249">
        <f>'[3]VI rok'!Z23</f>
        <v>0</v>
      </c>
      <c r="AB64" s="249">
        <f>'[3]VI rok'!AA23</f>
        <v>60</v>
      </c>
      <c r="AC64" s="249"/>
      <c r="AD64" s="249"/>
      <c r="AE64" s="249">
        <f>'[3]VI rok'!AD23</f>
        <v>100</v>
      </c>
      <c r="AF64" s="249">
        <f>'[3]VI rok'!AE23</f>
        <v>4</v>
      </c>
    </row>
    <row r="65" spans="1:32" ht="32.25" customHeight="1">
      <c r="A65" s="716"/>
      <c r="B65" s="249" t="s">
        <v>338</v>
      </c>
      <c r="C65" s="254" t="s">
        <v>344</v>
      </c>
      <c r="D65" s="264" t="e">
        <f>#REF!</f>
        <v>#REF!</v>
      </c>
      <c r="E65" s="245"/>
      <c r="F65" s="246" t="s">
        <v>133</v>
      </c>
      <c r="G65" s="247"/>
      <c r="H65" s="248" t="s">
        <v>145</v>
      </c>
      <c r="I65" s="249" t="s">
        <v>145</v>
      </c>
      <c r="J65" s="249" t="s">
        <v>132</v>
      </c>
      <c r="K65" s="249" t="s">
        <v>145</v>
      </c>
      <c r="L65" s="249"/>
      <c r="M65" s="249"/>
      <c r="N65" s="249"/>
      <c r="O65" s="249"/>
      <c r="P65" s="249" t="s">
        <v>241</v>
      </c>
      <c r="Q65" s="249"/>
      <c r="R65" s="249"/>
      <c r="S65" s="249"/>
      <c r="T65" s="249"/>
      <c r="U65" s="249"/>
      <c r="V65" s="249"/>
      <c r="W65" s="249"/>
      <c r="X65" s="249"/>
      <c r="Y65" s="247"/>
      <c r="Z65" s="248" t="s">
        <v>140</v>
      </c>
      <c r="AA65" s="249" t="s">
        <v>145</v>
      </c>
      <c r="AB65" s="249" t="s">
        <v>132</v>
      </c>
      <c r="AC65" s="249"/>
      <c r="AD65" s="249"/>
      <c r="AE65" s="249" t="s">
        <v>195</v>
      </c>
      <c r="AF65" s="249" t="s">
        <v>241</v>
      </c>
    </row>
  </sheetData>
  <mergeCells count="38">
    <mergeCell ref="C1:AF1"/>
    <mergeCell ref="B2:G2"/>
    <mergeCell ref="H2:AF2"/>
    <mergeCell ref="B3:B6"/>
    <mergeCell ref="C3:C6"/>
    <mergeCell ref="D3:D6"/>
    <mergeCell ref="E3:G4"/>
    <mergeCell ref="H3:I5"/>
    <mergeCell ref="J3:K5"/>
    <mergeCell ref="L3:M5"/>
    <mergeCell ref="E5:E6"/>
    <mergeCell ref="F5:F6"/>
    <mergeCell ref="G5:G6"/>
    <mergeCell ref="A7:A13"/>
    <mergeCell ref="B7:AF7"/>
    <mergeCell ref="Y3:Y6"/>
    <mergeCell ref="Z3:Z6"/>
    <mergeCell ref="AA3:AA6"/>
    <mergeCell ref="AB3:AB6"/>
    <mergeCell ref="AC3:AC6"/>
    <mergeCell ref="AD3:AD6"/>
    <mergeCell ref="N3:O5"/>
    <mergeCell ref="P3:P6"/>
    <mergeCell ref="Q3:R5"/>
    <mergeCell ref="S3:T5"/>
    <mergeCell ref="U3:V5"/>
    <mergeCell ref="W3:X5"/>
    <mergeCell ref="AE3:AE6"/>
    <mergeCell ref="AF3:AF6"/>
    <mergeCell ref="A64:A65"/>
    <mergeCell ref="A42:A62"/>
    <mergeCell ref="B42:AF42"/>
    <mergeCell ref="A14:A22"/>
    <mergeCell ref="B14:AF14"/>
    <mergeCell ref="A24:A31"/>
    <mergeCell ref="B24:AF24"/>
    <mergeCell ref="A32:A41"/>
    <mergeCell ref="B32:AF32"/>
  </mergeCells>
  <pageMargins left="0.23622047244094491" right="0.23622047244094491" top="0.74803149606299213" bottom="0.74803149606299213" header="0.31496062992125984" footer="0.31496062992125984"/>
  <pageSetup paperSize="9" scale="58" fitToHeight="0" orientation="landscape" r:id="rId1"/>
  <rowBreaks count="1" manualBreakCount="1">
    <brk id="31" max="16383" man="1"/>
  </rowBreaks>
  <colBreaks count="1" manualBreakCount="1">
    <brk id="1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58"/>
  <sheetViews>
    <sheetView topLeftCell="A34" workbookViewId="0">
      <selection activeCell="N219" sqref="N219:Q219"/>
    </sheetView>
  </sheetViews>
  <sheetFormatPr defaultRowHeight="15"/>
  <cols>
    <col min="1" max="1" width="6" style="213" customWidth="1"/>
    <col min="2" max="2" width="62.28515625" style="213" customWidth="1"/>
    <col min="3" max="3" width="19.42578125" style="262" customWidth="1"/>
    <col min="4" max="4" width="11.140625" style="219" customWidth="1"/>
    <col min="5" max="5" width="7.28515625" style="212" customWidth="1"/>
    <col min="6" max="9" width="5.28515625" style="212" customWidth="1"/>
    <col min="10" max="10" width="9.140625" style="386" customWidth="1"/>
    <col min="11" max="11" width="6.85546875" style="212" customWidth="1"/>
    <col min="12" max="13" width="9.140625" style="213"/>
    <col min="14" max="14" width="46.5703125" style="213" customWidth="1"/>
    <col min="15" max="16384" width="9.140625" style="213"/>
  </cols>
  <sheetData>
    <row r="1" spans="1:31" ht="66.75" customHeight="1">
      <c r="A1" s="696" t="s">
        <v>263</v>
      </c>
      <c r="B1" s="696"/>
      <c r="C1" s="696"/>
      <c r="D1" s="696"/>
      <c r="E1" s="696"/>
      <c r="F1" s="696"/>
      <c r="G1" s="696"/>
      <c r="H1" s="696"/>
      <c r="I1" s="696"/>
      <c r="J1" s="696"/>
      <c r="K1" s="696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</row>
    <row r="2" spans="1:31" ht="30.75" customHeight="1">
      <c r="A2" s="692" t="s">
        <v>260</v>
      </c>
      <c r="B2" s="692"/>
      <c r="C2" s="267" t="s">
        <v>261</v>
      </c>
      <c r="D2" s="268"/>
      <c r="E2" s="269"/>
      <c r="F2" s="269"/>
      <c r="G2" s="269"/>
      <c r="H2" s="270"/>
      <c r="I2" s="270"/>
      <c r="J2" s="370"/>
      <c r="K2" s="270"/>
      <c r="L2" s="266"/>
      <c r="M2" s="266"/>
      <c r="N2" s="266"/>
      <c r="O2" s="266"/>
      <c r="P2" s="266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</row>
    <row r="3" spans="1:31" ht="23.25" customHeight="1">
      <c r="A3" s="692" t="s">
        <v>262</v>
      </c>
      <c r="B3" s="692"/>
      <c r="C3" s="313"/>
      <c r="D3" s="272"/>
      <c r="E3" s="272"/>
      <c r="F3" s="272"/>
      <c r="G3" s="272"/>
      <c r="H3" s="272"/>
      <c r="I3" s="272"/>
      <c r="J3" s="371"/>
      <c r="K3" s="272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</row>
    <row r="4" spans="1:31" ht="63.75" customHeight="1">
      <c r="A4" s="204" t="s">
        <v>0</v>
      </c>
      <c r="B4" s="203" t="s">
        <v>4</v>
      </c>
      <c r="C4" s="200" t="s">
        <v>1</v>
      </c>
      <c r="D4" s="220" t="s">
        <v>244</v>
      </c>
      <c r="E4" s="309" t="s">
        <v>5</v>
      </c>
      <c r="F4" s="309" t="s">
        <v>89</v>
      </c>
      <c r="G4" s="309" t="s">
        <v>88</v>
      </c>
      <c r="H4" s="309" t="s">
        <v>94</v>
      </c>
      <c r="I4" s="309" t="s">
        <v>90</v>
      </c>
      <c r="J4" s="372" t="s">
        <v>14</v>
      </c>
      <c r="K4" s="309" t="s">
        <v>6</v>
      </c>
    </row>
    <row r="5" spans="1:31" ht="15" customHeight="1">
      <c r="A5" s="275" t="s">
        <v>275</v>
      </c>
      <c r="B5" s="207"/>
      <c r="C5" s="311"/>
      <c r="D5" s="227"/>
      <c r="E5" s="228"/>
      <c r="F5" s="228"/>
      <c r="G5" s="228"/>
      <c r="H5" s="228"/>
      <c r="I5" s="229"/>
      <c r="J5" s="373"/>
      <c r="K5" s="274"/>
      <c r="L5" s="205"/>
      <c r="M5" s="205"/>
      <c r="N5" s="205"/>
      <c r="O5" s="205"/>
    </row>
    <row r="6" spans="1:31" ht="18.75" customHeight="1">
      <c r="A6" s="198">
        <v>1.1000000000000001</v>
      </c>
      <c r="B6" s="222" t="s">
        <v>18</v>
      </c>
      <c r="C6" s="196" t="str">
        <f>"0912-7LEK-B"&amp;A6&amp;"-"&amp;UPPER(LEFT(B6,1))</f>
        <v>0912-7LEK-B1.1-A</v>
      </c>
      <c r="D6" s="223" t="s">
        <v>240</v>
      </c>
      <c r="E6" s="224">
        <v>225</v>
      </c>
      <c r="F6" s="224">
        <v>75</v>
      </c>
      <c r="G6" s="224">
        <v>60</v>
      </c>
      <c r="H6" s="224">
        <v>90</v>
      </c>
      <c r="I6" s="310">
        <v>0</v>
      </c>
      <c r="J6" s="374">
        <v>425</v>
      </c>
      <c r="K6" s="232">
        <v>17</v>
      </c>
      <c r="L6" s="263"/>
      <c r="M6" s="205"/>
      <c r="N6" s="205"/>
      <c r="O6" s="205"/>
    </row>
    <row r="7" spans="1:31" ht="18.75" customHeight="1">
      <c r="A7" s="197">
        <v>1.2</v>
      </c>
      <c r="B7" s="199" t="s">
        <v>20</v>
      </c>
      <c r="C7" s="17" t="str">
        <f>"0912-7LEK-B"&amp;A7&amp;"-"&amp;UPPER(LEFT(B7,1))</f>
        <v>0912-7LEK-B1.2-H</v>
      </c>
      <c r="D7" s="209" t="s">
        <v>240</v>
      </c>
      <c r="E7" s="210">
        <v>105</v>
      </c>
      <c r="F7" s="210">
        <v>35</v>
      </c>
      <c r="G7" s="210">
        <v>35</v>
      </c>
      <c r="H7" s="210">
        <v>35</v>
      </c>
      <c r="I7" s="314">
        <v>0</v>
      </c>
      <c r="J7" s="375">
        <v>250</v>
      </c>
      <c r="K7" s="233">
        <v>10</v>
      </c>
      <c r="L7" s="205"/>
      <c r="M7" s="205"/>
      <c r="N7" s="205"/>
      <c r="O7" s="205"/>
    </row>
    <row r="8" spans="1:31" ht="18.75" customHeight="1">
      <c r="A8" s="700" t="s">
        <v>9</v>
      </c>
      <c r="B8" s="701"/>
      <c r="C8" s="701"/>
      <c r="D8" s="702"/>
      <c r="E8" s="221">
        <f t="shared" ref="E8:K8" si="0">SUM(E6:E7)</f>
        <v>330</v>
      </c>
      <c r="F8" s="221">
        <f t="shared" si="0"/>
        <v>110</v>
      </c>
      <c r="G8" s="221">
        <f t="shared" si="0"/>
        <v>95</v>
      </c>
      <c r="H8" s="221">
        <f t="shared" si="0"/>
        <v>125</v>
      </c>
      <c r="I8" s="221">
        <f t="shared" si="0"/>
        <v>0</v>
      </c>
      <c r="J8" s="376">
        <f t="shared" si="0"/>
        <v>675</v>
      </c>
      <c r="K8" s="221">
        <f t="shared" si="0"/>
        <v>27</v>
      </c>
      <c r="L8" s="205"/>
      <c r="M8" s="205"/>
      <c r="N8" s="205"/>
      <c r="O8" s="205"/>
    </row>
    <row r="9" spans="1:31" ht="18.75" customHeight="1">
      <c r="A9" s="754" t="s">
        <v>276</v>
      </c>
      <c r="B9" s="755"/>
      <c r="C9" s="755"/>
      <c r="D9" s="755"/>
      <c r="E9" s="755"/>
      <c r="F9" s="755"/>
      <c r="G9" s="755"/>
      <c r="H9" s="755"/>
      <c r="I9" s="755"/>
      <c r="J9" s="755"/>
      <c r="K9" s="756"/>
      <c r="L9" s="205"/>
      <c r="M9" s="205"/>
      <c r="N9" s="205"/>
      <c r="O9" s="205"/>
    </row>
    <row r="10" spans="1:31" ht="18.75" customHeight="1">
      <c r="A10" s="746" t="s">
        <v>18</v>
      </c>
      <c r="B10" s="747"/>
      <c r="C10" s="747"/>
      <c r="D10" s="747"/>
      <c r="E10" s="747"/>
      <c r="F10" s="747"/>
      <c r="G10" s="747"/>
      <c r="H10" s="747"/>
      <c r="I10" s="747"/>
      <c r="J10" s="747"/>
      <c r="K10" s="748"/>
      <c r="L10" s="205"/>
      <c r="M10" s="205"/>
      <c r="N10" s="205"/>
      <c r="O10" s="205"/>
    </row>
    <row r="11" spans="1:31" ht="18.75" customHeight="1">
      <c r="A11" s="197"/>
      <c r="B11" s="236" t="s">
        <v>114</v>
      </c>
      <c r="C11" s="17" t="s">
        <v>279</v>
      </c>
      <c r="D11" s="209" t="s">
        <v>282</v>
      </c>
      <c r="E11" s="316"/>
      <c r="F11" s="316"/>
      <c r="G11" s="316"/>
      <c r="H11" s="316"/>
      <c r="I11" s="309"/>
      <c r="J11" s="377"/>
      <c r="K11" s="317">
        <v>1</v>
      </c>
      <c r="L11" s="205"/>
      <c r="M11" s="205"/>
      <c r="N11" s="205"/>
      <c r="O11" s="205"/>
    </row>
    <row r="12" spans="1:31" ht="18.75" customHeight="1">
      <c r="A12" s="197"/>
      <c r="B12" s="236" t="s">
        <v>125</v>
      </c>
      <c r="C12" s="17" t="s">
        <v>280</v>
      </c>
      <c r="D12" s="209" t="s">
        <v>282</v>
      </c>
      <c r="E12" s="316"/>
      <c r="F12" s="316"/>
      <c r="G12" s="316"/>
      <c r="H12" s="316"/>
      <c r="I12" s="315"/>
      <c r="J12" s="377"/>
      <c r="K12" s="317">
        <v>1</v>
      </c>
      <c r="L12" s="205"/>
      <c r="M12" s="205"/>
      <c r="N12" s="205"/>
      <c r="O12" s="205"/>
    </row>
    <row r="13" spans="1:31" ht="18.75" customHeight="1">
      <c r="A13" s="749" t="s">
        <v>20</v>
      </c>
      <c r="B13" s="750"/>
      <c r="C13" s="750"/>
      <c r="D13" s="750"/>
      <c r="E13" s="750"/>
      <c r="F13" s="750"/>
      <c r="G13" s="750"/>
      <c r="H13" s="750"/>
      <c r="I13" s="750"/>
      <c r="J13" s="750"/>
      <c r="K13" s="751"/>
      <c r="L13" s="205"/>
      <c r="M13" s="205"/>
      <c r="N13" s="205"/>
      <c r="O13" s="205"/>
    </row>
    <row r="14" spans="1:31" ht="18.75" customHeight="1">
      <c r="A14" s="197"/>
      <c r="B14" s="236" t="s">
        <v>119</v>
      </c>
      <c r="C14" s="17" t="s">
        <v>277</v>
      </c>
      <c r="D14" s="209" t="s">
        <v>241</v>
      </c>
      <c r="E14" s="316"/>
      <c r="F14" s="316"/>
      <c r="G14" s="316"/>
      <c r="H14" s="316"/>
      <c r="I14" s="315"/>
      <c r="J14" s="377"/>
      <c r="K14" s="317">
        <v>1</v>
      </c>
      <c r="L14" s="205"/>
      <c r="M14" s="205"/>
      <c r="N14" s="205"/>
      <c r="O14" s="205"/>
    </row>
    <row r="15" spans="1:31" ht="18.75" customHeight="1">
      <c r="A15" s="197"/>
      <c r="B15" s="236" t="s">
        <v>181</v>
      </c>
      <c r="C15" s="17" t="s">
        <v>278</v>
      </c>
      <c r="D15" s="209" t="s">
        <v>241</v>
      </c>
      <c r="E15" s="316"/>
      <c r="F15" s="316"/>
      <c r="G15" s="316"/>
      <c r="H15" s="316"/>
      <c r="I15" s="315"/>
      <c r="J15" s="377"/>
      <c r="K15" s="317">
        <v>1</v>
      </c>
      <c r="L15" s="205"/>
      <c r="M15" s="205"/>
      <c r="N15" s="205"/>
      <c r="O15" s="205"/>
    </row>
    <row r="16" spans="1:31" ht="18.75" customHeight="1">
      <c r="A16" s="735" t="s">
        <v>284</v>
      </c>
      <c r="B16" s="736"/>
      <c r="C16" s="736"/>
      <c r="D16" s="736"/>
      <c r="E16" s="736"/>
      <c r="F16" s="736"/>
      <c r="G16" s="736"/>
      <c r="H16" s="736"/>
      <c r="I16" s="736"/>
      <c r="J16" s="736"/>
      <c r="K16" s="737"/>
      <c r="L16" s="205"/>
      <c r="M16" s="205"/>
      <c r="N16" s="205"/>
      <c r="O16" s="205"/>
    </row>
    <row r="17" spans="1:51" ht="18.75" customHeight="1">
      <c r="A17" s="743" t="s">
        <v>283</v>
      </c>
      <c r="B17" s="744"/>
      <c r="C17" s="744"/>
      <c r="D17" s="744"/>
      <c r="E17" s="744"/>
      <c r="F17" s="744"/>
      <c r="G17" s="744"/>
      <c r="H17" s="744"/>
      <c r="I17" s="744"/>
      <c r="J17" s="744"/>
      <c r="K17" s="745"/>
      <c r="L17" s="205"/>
      <c r="M17" s="205"/>
      <c r="N17" s="205"/>
      <c r="O17" s="205"/>
    </row>
    <row r="18" spans="1:51" ht="15.75">
      <c r="A18" s="197"/>
      <c r="B18" s="199"/>
      <c r="C18" s="17"/>
      <c r="D18" s="209"/>
      <c r="E18" s="316"/>
      <c r="F18" s="316"/>
      <c r="G18" s="316"/>
      <c r="H18" s="316"/>
      <c r="I18" s="309"/>
      <c r="J18" s="377"/>
      <c r="K18" s="392">
        <v>2</v>
      </c>
      <c r="L18" s="205">
        <v>2</v>
      </c>
      <c r="M18" s="205"/>
      <c r="N18" s="205"/>
      <c r="O18" s="205"/>
    </row>
    <row r="19" spans="1:51" ht="15.75">
      <c r="A19" s="327"/>
      <c r="B19" s="356" t="s">
        <v>292</v>
      </c>
      <c r="C19" s="329"/>
      <c r="D19" s="330"/>
      <c r="E19" s="331"/>
      <c r="F19" s="331"/>
      <c r="G19" s="331"/>
      <c r="H19" s="331"/>
      <c r="I19" s="332"/>
      <c r="J19" s="378"/>
      <c r="K19" s="393">
        <v>29</v>
      </c>
      <c r="L19" s="205" t="s">
        <v>298</v>
      </c>
      <c r="M19" s="205"/>
      <c r="N19" s="205"/>
      <c r="O19" s="205"/>
    </row>
    <row r="20" spans="1:51">
      <c r="A20" s="693" t="s">
        <v>23</v>
      </c>
      <c r="B20" s="694"/>
      <c r="C20" s="694"/>
      <c r="D20" s="694"/>
      <c r="E20" s="694"/>
      <c r="F20" s="694"/>
      <c r="G20" s="694"/>
      <c r="H20" s="694"/>
      <c r="I20" s="694"/>
      <c r="J20" s="694"/>
      <c r="K20" s="695"/>
    </row>
    <row r="21" spans="1:51" ht="18.75" customHeight="1">
      <c r="A21" s="198">
        <v>2.1</v>
      </c>
      <c r="B21" s="222" t="s">
        <v>35</v>
      </c>
      <c r="C21" s="196" t="str">
        <f>"0912-7LEK-B"&amp;A21&amp;"-"&amp;UPPER(LEFT(B21,1))&amp;"f"</f>
        <v>0912-7LEK-B2.1-Bf</v>
      </c>
      <c r="D21" s="223">
        <v>4</v>
      </c>
      <c r="E21" s="224">
        <v>50</v>
      </c>
      <c r="F21" s="224">
        <v>20</v>
      </c>
      <c r="G21" s="224">
        <v>15</v>
      </c>
      <c r="H21" s="224">
        <v>0</v>
      </c>
      <c r="I21" s="224">
        <v>15</v>
      </c>
      <c r="J21" s="379">
        <v>75</v>
      </c>
      <c r="K21" s="224">
        <v>3</v>
      </c>
    </row>
    <row r="22" spans="1:51" ht="18.75" customHeight="1">
      <c r="A22" s="197">
        <v>2.2000000000000002</v>
      </c>
      <c r="B22" s="199" t="s">
        <v>36</v>
      </c>
      <c r="C22" s="17" t="str">
        <f>"0912-7LEK-B"&amp;A22&amp;"-"&amp;UPPER(LEFT(B22,1))&amp;"BK"</f>
        <v>0912-7LEK-B2.2-PBK</v>
      </c>
      <c r="D22" s="209">
        <v>2</v>
      </c>
      <c r="E22" s="210">
        <v>60</v>
      </c>
      <c r="F22" s="210">
        <v>30</v>
      </c>
      <c r="G22" s="210">
        <v>0</v>
      </c>
      <c r="H22" s="210">
        <v>0</v>
      </c>
      <c r="I22" s="210">
        <v>30</v>
      </c>
      <c r="J22" s="380">
        <v>100</v>
      </c>
      <c r="K22" s="210">
        <v>4</v>
      </c>
    </row>
    <row r="23" spans="1:51" ht="15.75">
      <c r="A23" s="197">
        <v>2.2999999999999998</v>
      </c>
      <c r="B23" s="199" t="s">
        <v>37</v>
      </c>
      <c r="C23" s="17" t="str">
        <f>"0912-7LEK-B"&amp;A23&amp;"-"&amp;UPPER(LEFT(B23,1))</f>
        <v>0912-7LEK-B2.3-C</v>
      </c>
      <c r="D23" s="209">
        <v>1</v>
      </c>
      <c r="E23" s="210">
        <v>35</v>
      </c>
      <c r="F23" s="210">
        <v>15</v>
      </c>
      <c r="G23" s="210">
        <v>0</v>
      </c>
      <c r="H23" s="210">
        <v>0</v>
      </c>
      <c r="I23" s="210">
        <v>20</v>
      </c>
      <c r="J23" s="380">
        <v>75</v>
      </c>
      <c r="K23" s="210">
        <v>3</v>
      </c>
    </row>
    <row r="24" spans="1:51" ht="18.75" customHeight="1">
      <c r="A24" s="197">
        <v>2.4</v>
      </c>
      <c r="B24" s="215" t="s">
        <v>38</v>
      </c>
      <c r="C24" s="17" t="str">
        <f>"0912-7LEK-B"&amp;A24&amp;"-"&amp;UPPER(LEFT(B24,1))&amp;"ch"</f>
        <v>0912-7LEK-B2.4-Bch</v>
      </c>
      <c r="D24" s="209">
        <v>3</v>
      </c>
      <c r="E24" s="210">
        <v>60</v>
      </c>
      <c r="F24" s="210">
        <v>30</v>
      </c>
      <c r="G24" s="210">
        <v>0</v>
      </c>
      <c r="H24" s="210">
        <v>0</v>
      </c>
      <c r="I24" s="210">
        <v>30</v>
      </c>
      <c r="J24" s="380">
        <v>125</v>
      </c>
      <c r="K24" s="210">
        <v>5</v>
      </c>
      <c r="U24" s="550"/>
      <c r="V24" s="551"/>
      <c r="W24" s="551"/>
      <c r="X24" s="551"/>
      <c r="Y24" s="551"/>
      <c r="Z24" s="551"/>
      <c r="AA24" s="551"/>
      <c r="AB24" s="551"/>
      <c r="AC24" s="551"/>
      <c r="AD24" s="551"/>
      <c r="AE24" s="551"/>
      <c r="AF24" s="551"/>
      <c r="AG24" s="551"/>
      <c r="AH24" s="551"/>
      <c r="AI24" s="551"/>
      <c r="AJ24" s="551"/>
      <c r="AK24" s="551"/>
      <c r="AL24" s="551"/>
      <c r="AM24" s="551"/>
      <c r="AN24" s="551"/>
      <c r="AO24" s="551"/>
      <c r="AP24" s="551"/>
      <c r="AQ24" s="551"/>
      <c r="AR24" s="551"/>
      <c r="AS24" s="551"/>
      <c r="AT24" s="551"/>
      <c r="AU24" s="551"/>
      <c r="AV24" s="551"/>
      <c r="AW24" s="551"/>
      <c r="AX24" s="551"/>
      <c r="AY24" s="551"/>
    </row>
    <row r="25" spans="1:51" ht="18.75" customHeight="1">
      <c r="A25" s="197">
        <v>2.5</v>
      </c>
      <c r="B25" s="199" t="s">
        <v>39</v>
      </c>
      <c r="C25" s="17" t="str">
        <f>"0912-7LEK-B"&amp;A25&amp;"-"&amp;UPPER(LEFT(B25,1))&amp;"zC"</f>
        <v>0912-7LEK-B2.5-FzC</v>
      </c>
      <c r="D25" s="209" t="s">
        <v>251</v>
      </c>
      <c r="E25" s="210">
        <v>160</v>
      </c>
      <c r="F25" s="210">
        <v>50</v>
      </c>
      <c r="G25" s="210">
        <v>50</v>
      </c>
      <c r="H25" s="210">
        <v>0</v>
      </c>
      <c r="I25" s="210">
        <v>60</v>
      </c>
      <c r="J25" s="380">
        <v>350</v>
      </c>
      <c r="K25" s="210">
        <v>14</v>
      </c>
      <c r="U25" s="568"/>
      <c r="V25" s="568"/>
      <c r="W25" s="140"/>
      <c r="X25" s="39"/>
      <c r="Y25" s="128"/>
      <c r="Z25" s="128"/>
      <c r="AA25" s="128"/>
      <c r="AB25" s="570"/>
      <c r="AC25" s="570"/>
      <c r="AD25" s="570"/>
      <c r="AE25" s="570"/>
      <c r="AF25" s="570"/>
      <c r="AG25" s="570"/>
      <c r="AH25" s="570"/>
      <c r="AI25" s="570"/>
      <c r="AJ25" s="570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</row>
    <row r="26" spans="1:51" ht="23.25">
      <c r="A26" s="197">
        <v>2.6</v>
      </c>
      <c r="B26" s="199" t="s">
        <v>40</v>
      </c>
      <c r="C26" s="17" t="str">
        <f>"0912-7LEK-B"&amp;A26&amp;"-"&amp;UPPER(LEFT(B26,1))&amp;""</f>
        <v>0912-7LEK-B2.6-P</v>
      </c>
      <c r="D26" s="209" t="s">
        <v>252</v>
      </c>
      <c r="E26" s="210">
        <v>90</v>
      </c>
      <c r="F26" s="210">
        <v>40</v>
      </c>
      <c r="G26" s="210">
        <v>50</v>
      </c>
      <c r="H26" s="210">
        <v>0</v>
      </c>
      <c r="I26" s="210">
        <v>0</v>
      </c>
      <c r="J26" s="380">
        <v>175</v>
      </c>
      <c r="K26" s="210">
        <v>7</v>
      </c>
      <c r="U26" s="569"/>
      <c r="V26" s="569"/>
      <c r="W26" s="141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</row>
    <row r="27" spans="1:51" ht="18.75" customHeight="1">
      <c r="A27" s="197">
        <v>2.7</v>
      </c>
      <c r="B27" s="199" t="s">
        <v>93</v>
      </c>
      <c r="C27" s="17" t="str">
        <f>"0912-7LEK-B"&amp;A27&amp;"-"&amp;UPPER(LEFT(B27,1))&amp;"zI"</f>
        <v>0912-7LEK-B2.7-BzI</v>
      </c>
      <c r="D27" s="209" t="s">
        <v>240</v>
      </c>
      <c r="E27" s="210">
        <v>80</v>
      </c>
      <c r="F27" s="210">
        <v>30</v>
      </c>
      <c r="G27" s="210">
        <v>50</v>
      </c>
      <c r="H27" s="210">
        <v>0</v>
      </c>
      <c r="I27" s="210">
        <v>0</v>
      </c>
      <c r="J27" s="380">
        <v>125</v>
      </c>
      <c r="K27" s="210">
        <v>5</v>
      </c>
    </row>
    <row r="28" spans="1:51" ht="18.75" customHeight="1">
      <c r="A28" s="197">
        <v>2.8</v>
      </c>
      <c r="B28" s="199" t="s">
        <v>91</v>
      </c>
      <c r="C28" s="17" t="str">
        <f>"0912-7LEK-B"&amp;A28&amp;"-"&amp;UPPER(LEFT(B28,1))&amp;"P"</f>
        <v>0912-7LEK-B2.8-PP</v>
      </c>
      <c r="D28" s="209">
        <v>2</v>
      </c>
      <c r="E28" s="210">
        <v>35</v>
      </c>
      <c r="F28" s="210">
        <v>0</v>
      </c>
      <c r="G28" s="210">
        <v>15</v>
      </c>
      <c r="H28" s="210">
        <v>20</v>
      </c>
      <c r="I28" s="210">
        <v>0</v>
      </c>
      <c r="J28" s="380">
        <v>50</v>
      </c>
      <c r="K28" s="210">
        <v>2</v>
      </c>
    </row>
    <row r="29" spans="1:51" ht="15" customHeight="1">
      <c r="A29" s="738" t="s">
        <v>9</v>
      </c>
      <c r="B29" s="739"/>
      <c r="C29" s="739"/>
      <c r="D29" s="740"/>
      <c r="E29" s="221">
        <f>SUM(E21:E28)</f>
        <v>570</v>
      </c>
      <c r="F29" s="221">
        <f t="shared" ref="F29:K29" si="1">SUM(F21:F28)</f>
        <v>215</v>
      </c>
      <c r="G29" s="221">
        <f t="shared" si="1"/>
        <v>180</v>
      </c>
      <c r="H29" s="221">
        <f t="shared" si="1"/>
        <v>20</v>
      </c>
      <c r="I29" s="221">
        <f t="shared" si="1"/>
        <v>155</v>
      </c>
      <c r="J29" s="376">
        <f t="shared" si="1"/>
        <v>1075</v>
      </c>
      <c r="K29" s="221">
        <f t="shared" si="1"/>
        <v>43</v>
      </c>
    </row>
    <row r="30" spans="1:51" ht="15" customHeight="1">
      <c r="A30" s="754" t="s">
        <v>276</v>
      </c>
      <c r="B30" s="755"/>
      <c r="C30" s="755"/>
      <c r="D30" s="755"/>
      <c r="E30" s="755"/>
      <c r="F30" s="755"/>
      <c r="G30" s="755"/>
      <c r="H30" s="755"/>
      <c r="I30" s="755"/>
      <c r="J30" s="755"/>
      <c r="K30" s="756"/>
    </row>
    <row r="31" spans="1:51" ht="15" customHeight="1">
      <c r="A31" s="197"/>
      <c r="B31" s="325" t="s">
        <v>35</v>
      </c>
      <c r="C31" s="213"/>
      <c r="D31" s="209"/>
      <c r="E31" s="316"/>
      <c r="F31" s="316"/>
      <c r="G31" s="316"/>
      <c r="H31" s="316"/>
      <c r="I31" s="309"/>
      <c r="J31" s="377"/>
      <c r="K31" s="317"/>
    </row>
    <row r="32" spans="1:51" ht="15" customHeight="1">
      <c r="B32" s="216" t="s">
        <v>138</v>
      </c>
      <c r="C32" s="17"/>
      <c r="D32" s="209" t="s">
        <v>143</v>
      </c>
      <c r="E32" s="316">
        <v>15</v>
      </c>
      <c r="F32" s="316">
        <v>15</v>
      </c>
      <c r="G32" s="316"/>
      <c r="H32" s="316"/>
      <c r="I32" s="318"/>
      <c r="J32" s="377">
        <v>25</v>
      </c>
      <c r="K32" s="317"/>
    </row>
    <row r="33" spans="1:11" ht="15" customHeight="1">
      <c r="B33" s="336" t="s">
        <v>39</v>
      </c>
      <c r="C33" s="17"/>
      <c r="D33" s="209"/>
      <c r="E33" s="316"/>
      <c r="F33" s="316"/>
      <c r="G33" s="316"/>
      <c r="H33" s="316"/>
      <c r="I33" s="318"/>
      <c r="J33" s="377"/>
      <c r="K33" s="317"/>
    </row>
    <row r="34" spans="1:11" ht="15" customHeight="1">
      <c r="B34" s="237" t="s">
        <v>287</v>
      </c>
      <c r="C34" s="17"/>
      <c r="D34" s="209" t="s">
        <v>143</v>
      </c>
      <c r="E34" s="316">
        <v>15</v>
      </c>
      <c r="F34" s="316">
        <v>15</v>
      </c>
      <c r="G34" s="316"/>
      <c r="H34" s="316"/>
      <c r="I34" s="318"/>
      <c r="J34" s="377">
        <v>25</v>
      </c>
      <c r="K34" s="317"/>
    </row>
    <row r="35" spans="1:11" ht="15" customHeight="1">
      <c r="A35" s="327"/>
      <c r="B35" s="216" t="s">
        <v>288</v>
      </c>
      <c r="C35" s="17"/>
      <c r="D35" s="209" t="s">
        <v>143</v>
      </c>
      <c r="E35" s="316">
        <v>15</v>
      </c>
      <c r="F35" s="316">
        <v>15</v>
      </c>
      <c r="G35" s="316"/>
      <c r="H35" s="316"/>
      <c r="I35" s="318"/>
      <c r="J35" s="377">
        <v>25</v>
      </c>
      <c r="K35" s="317"/>
    </row>
    <row r="36" spans="1:11" ht="15" customHeight="1">
      <c r="A36" s="197"/>
      <c r="B36" s="199" t="s">
        <v>36</v>
      </c>
      <c r="C36" s="17"/>
      <c r="D36" s="209"/>
      <c r="E36" s="316"/>
      <c r="F36" s="316"/>
      <c r="G36" s="316"/>
      <c r="H36" s="316"/>
      <c r="I36" s="318"/>
      <c r="J36" s="377"/>
      <c r="K36" s="317"/>
    </row>
    <row r="37" spans="1:11" ht="15" customHeight="1">
      <c r="A37" s="197"/>
      <c r="B37" s="236" t="s">
        <v>116</v>
      </c>
      <c r="C37" s="17" t="s">
        <v>281</v>
      </c>
      <c r="D37" s="209" t="s">
        <v>242</v>
      </c>
      <c r="E37" s="316">
        <v>15</v>
      </c>
      <c r="F37" s="316">
        <v>15</v>
      </c>
      <c r="G37" s="316"/>
      <c r="H37" s="316"/>
      <c r="I37" s="309"/>
      <c r="J37" s="377">
        <v>25</v>
      </c>
      <c r="K37" s="317"/>
    </row>
    <row r="38" spans="1:11" ht="15" customHeight="1">
      <c r="A38" s="327"/>
      <c r="B38" s="394" t="s">
        <v>131</v>
      </c>
      <c r="C38" s="17"/>
      <c r="D38" s="209" t="s">
        <v>243</v>
      </c>
      <c r="E38" s="316">
        <v>15</v>
      </c>
      <c r="F38" s="316">
        <v>15</v>
      </c>
      <c r="G38" s="316"/>
      <c r="H38" s="316"/>
      <c r="I38" s="339"/>
      <c r="J38" s="377">
        <v>25</v>
      </c>
      <c r="K38" s="317"/>
    </row>
    <row r="39" spans="1:11" ht="15" customHeight="1">
      <c r="A39" s="327"/>
      <c r="B39" s="335" t="s">
        <v>40</v>
      </c>
      <c r="C39" s="17"/>
      <c r="D39" s="209"/>
      <c r="E39" s="210"/>
      <c r="F39" s="210"/>
      <c r="G39" s="210"/>
      <c r="H39" s="210"/>
      <c r="I39" s="322"/>
      <c r="J39" s="375"/>
      <c r="K39" s="233"/>
    </row>
    <row r="40" spans="1:11" ht="15" customHeight="1">
      <c r="A40" s="327"/>
      <c r="B40" s="337" t="s">
        <v>183</v>
      </c>
      <c r="C40" s="396">
        <v>5</v>
      </c>
      <c r="D40" s="209"/>
      <c r="E40" s="210">
        <v>15</v>
      </c>
      <c r="F40" s="210">
        <v>15</v>
      </c>
      <c r="G40" s="210"/>
      <c r="H40" s="210"/>
      <c r="I40" s="322"/>
      <c r="J40" s="375">
        <v>25</v>
      </c>
      <c r="K40" s="233"/>
    </row>
    <row r="41" spans="1:11" ht="15" customHeight="1">
      <c r="A41" s="327"/>
      <c r="B41" s="337" t="s">
        <v>290</v>
      </c>
      <c r="C41" s="396">
        <v>6</v>
      </c>
      <c r="D41" s="209"/>
      <c r="E41" s="210">
        <v>15</v>
      </c>
      <c r="F41" s="210">
        <v>15</v>
      </c>
      <c r="G41" s="210"/>
      <c r="H41" s="210"/>
      <c r="I41" s="322"/>
      <c r="J41" s="375">
        <v>25</v>
      </c>
      <c r="K41" s="233"/>
    </row>
    <row r="42" spans="1:11" ht="15" customHeight="1">
      <c r="A42" s="327"/>
      <c r="B42" s="213" t="s">
        <v>191</v>
      </c>
      <c r="C42" s="396">
        <v>5</v>
      </c>
      <c r="D42" s="209"/>
      <c r="E42" s="210">
        <v>15</v>
      </c>
      <c r="F42" s="210">
        <v>15</v>
      </c>
      <c r="G42" s="210"/>
      <c r="H42" s="210"/>
      <c r="I42" s="322"/>
      <c r="J42" s="375">
        <v>25</v>
      </c>
      <c r="K42" s="233"/>
    </row>
    <row r="43" spans="1:11" ht="15" customHeight="1">
      <c r="A43" s="327"/>
      <c r="B43" s="741" t="s">
        <v>37</v>
      </c>
      <c r="C43" s="742"/>
      <c r="D43" s="330"/>
      <c r="E43" s="331"/>
      <c r="F43" s="331"/>
      <c r="G43" s="331"/>
      <c r="H43" s="331"/>
      <c r="I43" s="332"/>
      <c r="J43" s="378"/>
      <c r="K43" s="333"/>
    </row>
    <row r="44" spans="1:11" ht="15" customHeight="1">
      <c r="A44" s="327"/>
      <c r="B44" s="237" t="s">
        <v>115</v>
      </c>
      <c r="C44" s="17"/>
      <c r="D44" s="209" t="s">
        <v>241</v>
      </c>
      <c r="E44" s="210">
        <v>15</v>
      </c>
      <c r="F44" s="210">
        <v>15</v>
      </c>
      <c r="G44" s="210"/>
      <c r="H44" s="210"/>
      <c r="I44" s="342"/>
      <c r="J44" s="375">
        <v>25</v>
      </c>
      <c r="K44" s="233"/>
    </row>
    <row r="45" spans="1:11" ht="15" customHeight="1">
      <c r="A45" s="327"/>
      <c r="B45" s="328"/>
      <c r="C45" s="17"/>
      <c r="D45" s="209"/>
      <c r="E45" s="210"/>
      <c r="F45" s="210"/>
      <c r="G45" s="210"/>
      <c r="H45" s="210"/>
      <c r="I45" s="342"/>
      <c r="J45" s="375"/>
      <c r="K45" s="233"/>
    </row>
    <row r="46" spans="1:11" ht="15" customHeight="1">
      <c r="A46" s="327"/>
      <c r="B46" s="328"/>
      <c r="C46" s="329"/>
      <c r="D46" s="330"/>
      <c r="E46" s="331"/>
      <c r="F46" s="331"/>
      <c r="G46" s="331"/>
      <c r="H46" s="331"/>
      <c r="I46" s="332"/>
      <c r="J46" s="378"/>
      <c r="K46" s="333"/>
    </row>
    <row r="47" spans="1:11">
      <c r="A47" s="693" t="s">
        <v>24</v>
      </c>
      <c r="B47" s="694"/>
      <c r="C47" s="694"/>
      <c r="D47" s="694"/>
      <c r="E47" s="694"/>
      <c r="F47" s="694"/>
      <c r="G47" s="694"/>
      <c r="H47" s="694"/>
      <c r="I47" s="694"/>
      <c r="J47" s="694"/>
      <c r="K47" s="695"/>
    </row>
    <row r="48" spans="1:11" ht="14.25" customHeight="1">
      <c r="A48" s="198">
        <v>3.1</v>
      </c>
      <c r="B48" s="222" t="s">
        <v>41</v>
      </c>
      <c r="C48" s="196" t="str">
        <f t="shared" ref="C48:C53" si="2">"0912-7LEK-C"&amp;A48&amp;"-"&amp;UPPER(LEFT(B48,1))</f>
        <v>0912-7LEK-C3.1-G</v>
      </c>
      <c r="D48" s="223">
        <v>3</v>
      </c>
      <c r="E48" s="224">
        <v>45</v>
      </c>
      <c r="F48" s="224">
        <v>15</v>
      </c>
      <c r="G48" s="224">
        <v>30</v>
      </c>
      <c r="H48" s="224">
        <v>0</v>
      </c>
      <c r="I48" s="224">
        <v>0</v>
      </c>
      <c r="J48" s="379">
        <v>100</v>
      </c>
      <c r="K48" s="224">
        <v>4</v>
      </c>
    </row>
    <row r="49" spans="1:11" ht="15.75">
      <c r="A49" s="197">
        <v>3.2</v>
      </c>
      <c r="B49" s="199" t="s">
        <v>42</v>
      </c>
      <c r="C49" s="17" t="str">
        <f t="shared" si="2"/>
        <v>0912-7LEK-C3.2-M</v>
      </c>
      <c r="D49" s="209" t="s">
        <v>251</v>
      </c>
      <c r="E49" s="210">
        <v>100</v>
      </c>
      <c r="F49" s="210">
        <v>20</v>
      </c>
      <c r="G49" s="210">
        <v>40</v>
      </c>
      <c r="H49" s="210">
        <v>0</v>
      </c>
      <c r="I49" s="210">
        <v>40</v>
      </c>
      <c r="J49" s="380">
        <v>200</v>
      </c>
      <c r="K49" s="210">
        <v>8</v>
      </c>
    </row>
    <row r="50" spans="1:11" ht="15.75">
      <c r="A50" s="197">
        <v>3.3</v>
      </c>
      <c r="B50" s="199" t="s">
        <v>43</v>
      </c>
      <c r="C50" s="17" t="str">
        <f t="shared" si="2"/>
        <v>0912-7LEK-C3.3-P</v>
      </c>
      <c r="D50" s="209">
        <v>4</v>
      </c>
      <c r="E50" s="210">
        <v>45</v>
      </c>
      <c r="F50" s="210">
        <v>15</v>
      </c>
      <c r="G50" s="210">
        <v>15</v>
      </c>
      <c r="H50" s="210">
        <v>0</v>
      </c>
      <c r="I50" s="210">
        <v>15</v>
      </c>
      <c r="J50" s="380">
        <v>75</v>
      </c>
      <c r="K50" s="210">
        <v>3</v>
      </c>
    </row>
    <row r="51" spans="1:11" ht="15.75">
      <c r="A51" s="197">
        <v>3.4</v>
      </c>
      <c r="B51" s="199" t="s">
        <v>44</v>
      </c>
      <c r="C51" s="17" t="str">
        <f t="shared" si="2"/>
        <v>0912-7LEK-C3.4-I</v>
      </c>
      <c r="D51" s="209" t="s">
        <v>243</v>
      </c>
      <c r="E51" s="210">
        <v>45</v>
      </c>
      <c r="F51" s="210">
        <v>15</v>
      </c>
      <c r="G51" s="210">
        <v>10</v>
      </c>
      <c r="H51" s="210">
        <v>0</v>
      </c>
      <c r="I51" s="210">
        <v>20</v>
      </c>
      <c r="J51" s="380">
        <v>75</v>
      </c>
      <c r="K51" s="210">
        <v>3</v>
      </c>
    </row>
    <row r="52" spans="1:11" ht="15.75">
      <c r="A52" s="197">
        <v>3.5</v>
      </c>
      <c r="B52" s="199" t="s">
        <v>45</v>
      </c>
      <c r="C52" s="17" t="str">
        <f t="shared" si="2"/>
        <v>0912-7LEK-C3.5-P</v>
      </c>
      <c r="D52" s="209" t="s">
        <v>252</v>
      </c>
      <c r="E52" s="210">
        <v>135</v>
      </c>
      <c r="F52" s="210">
        <v>45</v>
      </c>
      <c r="G52" s="210">
        <v>90</v>
      </c>
      <c r="H52" s="210">
        <v>0</v>
      </c>
      <c r="I52" s="210">
        <v>0</v>
      </c>
      <c r="J52" s="380">
        <v>275</v>
      </c>
      <c r="K52" s="210">
        <v>11</v>
      </c>
    </row>
    <row r="53" spans="1:11" ht="15.75">
      <c r="A53" s="197">
        <v>3.6</v>
      </c>
      <c r="B53" s="199" t="s">
        <v>46</v>
      </c>
      <c r="C53" s="17" t="str">
        <f t="shared" si="2"/>
        <v>0912-7LEK-C3.6-F</v>
      </c>
      <c r="D53" s="209" t="s">
        <v>252</v>
      </c>
      <c r="E53" s="210">
        <v>130</v>
      </c>
      <c r="F53" s="210">
        <v>50</v>
      </c>
      <c r="G53" s="210">
        <v>80</v>
      </c>
      <c r="H53" s="210">
        <v>0</v>
      </c>
      <c r="I53" s="210">
        <v>0</v>
      </c>
      <c r="J53" s="380">
        <v>250</v>
      </c>
      <c r="K53" s="210">
        <v>10</v>
      </c>
    </row>
    <row r="54" spans="1:11">
      <c r="A54" s="700" t="s">
        <v>9</v>
      </c>
      <c r="B54" s="701"/>
      <c r="C54" s="701"/>
      <c r="D54" s="702"/>
      <c r="E54" s="221">
        <f>SUM(E48:E53)</f>
        <v>500</v>
      </c>
      <c r="F54" s="221">
        <f t="shared" ref="F54:K54" si="3">SUM(F48:F53)</f>
        <v>160</v>
      </c>
      <c r="G54" s="221">
        <f t="shared" si="3"/>
        <v>265</v>
      </c>
      <c r="H54" s="221">
        <f t="shared" si="3"/>
        <v>0</v>
      </c>
      <c r="I54" s="221">
        <f t="shared" si="3"/>
        <v>75</v>
      </c>
      <c r="J54" s="376">
        <f t="shared" si="3"/>
        <v>975</v>
      </c>
      <c r="K54" s="221">
        <f t="shared" si="3"/>
        <v>39</v>
      </c>
    </row>
    <row r="55" spans="1:11" ht="15" customHeight="1">
      <c r="A55" s="754" t="s">
        <v>276</v>
      </c>
      <c r="B55" s="755"/>
      <c r="C55" s="755"/>
      <c r="D55" s="755"/>
      <c r="E55" s="755"/>
      <c r="F55" s="755"/>
      <c r="G55" s="755"/>
      <c r="H55" s="755"/>
      <c r="I55" s="755"/>
      <c r="J55" s="755"/>
      <c r="K55" s="756"/>
    </row>
    <row r="56" spans="1:11" ht="15" customHeight="1">
      <c r="A56" s="320"/>
      <c r="B56" s="321"/>
      <c r="C56" s="321"/>
      <c r="D56" s="321"/>
      <c r="E56" s="323"/>
      <c r="F56" s="323"/>
      <c r="G56" s="323"/>
      <c r="H56" s="323"/>
      <c r="I56" s="323"/>
      <c r="J56" s="381"/>
      <c r="K56" s="324"/>
    </row>
    <row r="57" spans="1:11" ht="15.75">
      <c r="A57" s="197"/>
      <c r="B57" s="199" t="s">
        <v>41</v>
      </c>
      <c r="C57" s="404"/>
      <c r="D57" s="220"/>
      <c r="E57" s="316"/>
      <c r="F57" s="316"/>
      <c r="G57" s="316"/>
      <c r="H57" s="316"/>
      <c r="I57" s="309"/>
      <c r="J57" s="377"/>
      <c r="K57" s="317"/>
    </row>
    <row r="58" spans="1:11" ht="15.75">
      <c r="A58" s="197"/>
      <c r="B58" s="403" t="s">
        <v>127</v>
      </c>
      <c r="C58" s="402"/>
      <c r="D58" s="406">
        <v>3</v>
      </c>
      <c r="E58" s="402">
        <v>15</v>
      </c>
      <c r="F58" s="210">
        <v>15</v>
      </c>
      <c r="G58" s="210"/>
      <c r="H58" s="210"/>
      <c r="I58" s="318"/>
      <c r="J58" s="377">
        <v>25</v>
      </c>
      <c r="K58" s="317"/>
    </row>
    <row r="59" spans="1:11" ht="15.75">
      <c r="A59" s="197"/>
      <c r="B59" s="403" t="s">
        <v>286</v>
      </c>
      <c r="C59" s="402"/>
      <c r="D59" s="406">
        <v>4</v>
      </c>
      <c r="E59" s="402">
        <v>15</v>
      </c>
      <c r="F59" s="210">
        <v>15</v>
      </c>
      <c r="G59" s="210"/>
      <c r="H59" s="210"/>
      <c r="I59" s="318"/>
      <c r="J59" s="377">
        <v>25</v>
      </c>
      <c r="K59" s="317"/>
    </row>
    <row r="60" spans="1:11" ht="15.75">
      <c r="A60" s="197"/>
      <c r="B60" s="199" t="s">
        <v>42</v>
      </c>
      <c r="C60" s="17"/>
      <c r="D60" s="209"/>
      <c r="E60" s="316"/>
      <c r="F60" s="316"/>
      <c r="G60" s="316"/>
      <c r="H60" s="316"/>
      <c r="I60" s="318"/>
      <c r="J60" s="377"/>
      <c r="K60" s="317"/>
    </row>
    <row r="61" spans="1:11" ht="15.75">
      <c r="A61" s="197"/>
      <c r="B61" s="334" t="s">
        <v>130</v>
      </c>
      <c r="C61" s="391"/>
      <c r="D61" s="209" t="s">
        <v>243</v>
      </c>
      <c r="E61" s="316">
        <v>15</v>
      </c>
      <c r="F61" s="316">
        <v>15</v>
      </c>
      <c r="G61" s="316"/>
      <c r="H61" s="316"/>
      <c r="I61" s="318"/>
      <c r="J61" s="377">
        <v>25</v>
      </c>
      <c r="K61" s="317"/>
    </row>
    <row r="62" spans="1:11" ht="15.75">
      <c r="A62" s="197"/>
      <c r="B62" s="387" t="s">
        <v>159</v>
      </c>
      <c r="C62" s="17"/>
      <c r="D62" s="209"/>
      <c r="E62" s="316"/>
      <c r="F62" s="316"/>
      <c r="G62" s="316"/>
      <c r="H62" s="316"/>
      <c r="I62" s="318"/>
      <c r="J62" s="377"/>
      <c r="K62" s="317"/>
    </row>
    <row r="63" spans="1:11">
      <c r="A63" s="197"/>
      <c r="B63" s="243" t="s">
        <v>285</v>
      </c>
      <c r="C63" s="395"/>
      <c r="D63" s="209" t="s">
        <v>243</v>
      </c>
      <c r="E63" s="316">
        <v>15</v>
      </c>
      <c r="F63" s="316">
        <v>15</v>
      </c>
      <c r="G63" s="316"/>
      <c r="H63" s="316"/>
      <c r="I63" s="339"/>
      <c r="J63" s="377">
        <v>25</v>
      </c>
      <c r="K63" s="317"/>
    </row>
    <row r="64" spans="1:11" ht="15.75">
      <c r="A64" s="197"/>
      <c r="B64" s="199" t="s">
        <v>43</v>
      </c>
      <c r="C64" s="17"/>
      <c r="D64" s="209"/>
      <c r="E64" s="316"/>
      <c r="F64" s="316"/>
      <c r="G64" s="316"/>
      <c r="H64" s="316"/>
      <c r="I64" s="318"/>
      <c r="J64" s="377"/>
      <c r="K64" s="317"/>
    </row>
    <row r="65" spans="1:11" ht="15.75">
      <c r="A65" s="197"/>
      <c r="B65" s="199"/>
      <c r="C65" s="17"/>
      <c r="D65" s="209"/>
      <c r="E65" s="316"/>
      <c r="F65" s="316"/>
      <c r="G65" s="316"/>
      <c r="H65" s="316"/>
      <c r="I65" s="318"/>
      <c r="J65" s="377"/>
      <c r="K65" s="317"/>
    </row>
    <row r="66" spans="1:11" ht="15.75">
      <c r="A66" s="197"/>
      <c r="B66" s="199" t="s">
        <v>44</v>
      </c>
      <c r="C66" s="17"/>
      <c r="D66" s="209"/>
      <c r="E66" s="316"/>
      <c r="F66" s="316"/>
      <c r="G66" s="316"/>
      <c r="H66" s="316"/>
      <c r="I66" s="318"/>
      <c r="J66" s="377"/>
      <c r="K66" s="317"/>
    </row>
    <row r="67" spans="1:11" ht="15.75">
      <c r="A67" s="197"/>
      <c r="B67" s="334" t="s">
        <v>139</v>
      </c>
      <c r="C67" s="17"/>
      <c r="D67" s="209" t="s">
        <v>143</v>
      </c>
      <c r="E67" s="316">
        <v>15</v>
      </c>
      <c r="F67" s="316">
        <v>15</v>
      </c>
      <c r="G67" s="316"/>
      <c r="H67" s="316"/>
      <c r="I67" s="318"/>
      <c r="J67" s="377">
        <v>25</v>
      </c>
      <c r="K67" s="317"/>
    </row>
    <row r="68" spans="1:11" ht="15.75">
      <c r="A68" s="197"/>
      <c r="B68" s="199" t="s">
        <v>45</v>
      </c>
      <c r="C68" s="17"/>
      <c r="D68" s="209"/>
      <c r="E68" s="316"/>
      <c r="F68" s="316"/>
      <c r="G68" s="316"/>
      <c r="H68" s="316"/>
      <c r="I68" s="318"/>
      <c r="J68" s="377"/>
      <c r="K68" s="317"/>
    </row>
    <row r="69" spans="1:11" ht="15.75">
      <c r="A69" s="197"/>
      <c r="B69" s="334" t="s">
        <v>201</v>
      </c>
      <c r="C69" s="396"/>
      <c r="D69" s="209" t="s">
        <v>145</v>
      </c>
      <c r="E69" s="316">
        <v>15</v>
      </c>
      <c r="F69" s="316">
        <v>15</v>
      </c>
      <c r="G69" s="316"/>
      <c r="H69" s="316"/>
      <c r="I69" s="318"/>
      <c r="J69" s="377">
        <v>25</v>
      </c>
      <c r="K69" s="317"/>
    </row>
    <row r="70" spans="1:11" ht="15.75">
      <c r="A70" s="197"/>
      <c r="B70" s="334" t="s">
        <v>289</v>
      </c>
      <c r="C70" s="17"/>
      <c r="D70" s="209" t="s">
        <v>146</v>
      </c>
      <c r="E70" s="316">
        <v>15</v>
      </c>
      <c r="F70" s="316">
        <v>15</v>
      </c>
      <c r="G70" s="316"/>
      <c r="H70" s="316"/>
      <c r="I70" s="318"/>
      <c r="J70" s="377">
        <v>25</v>
      </c>
      <c r="K70" s="317"/>
    </row>
    <row r="71" spans="1:11" ht="15.75">
      <c r="A71" s="197"/>
      <c r="B71" s="387" t="s">
        <v>200</v>
      </c>
      <c r="C71" s="17"/>
      <c r="D71" s="209" t="s">
        <v>146</v>
      </c>
      <c r="E71" s="316">
        <v>15</v>
      </c>
      <c r="F71" s="316">
        <v>15</v>
      </c>
      <c r="G71" s="316"/>
      <c r="H71" s="316"/>
      <c r="I71" s="318"/>
      <c r="J71" s="377">
        <v>25</v>
      </c>
      <c r="K71" s="317"/>
    </row>
    <row r="72" spans="1:11" ht="15.75">
      <c r="A72" s="197"/>
      <c r="B72" s="334"/>
      <c r="C72" s="17"/>
      <c r="D72" s="209"/>
      <c r="E72" s="316"/>
      <c r="F72" s="316"/>
      <c r="G72" s="316"/>
      <c r="H72" s="316"/>
      <c r="I72" s="318"/>
      <c r="J72" s="377"/>
      <c r="K72" s="317"/>
    </row>
    <row r="73" spans="1:11" ht="15.75">
      <c r="A73" s="197"/>
      <c r="B73" s="199" t="s">
        <v>46</v>
      </c>
      <c r="C73" s="17"/>
      <c r="D73" s="209"/>
      <c r="E73" s="316"/>
      <c r="F73" s="316"/>
      <c r="G73" s="316"/>
      <c r="H73" s="316"/>
      <c r="I73" s="318"/>
      <c r="J73" s="377"/>
      <c r="K73" s="317"/>
    </row>
    <row r="74" spans="1:11">
      <c r="A74" s="197"/>
      <c r="B74" s="216"/>
      <c r="C74" s="17"/>
      <c r="D74" s="209"/>
      <c r="E74" s="316"/>
      <c r="F74" s="316"/>
      <c r="G74" s="316"/>
      <c r="H74" s="316"/>
      <c r="I74" s="318"/>
      <c r="J74" s="377"/>
      <c r="K74" s="317"/>
    </row>
    <row r="75" spans="1:11">
      <c r="A75" s="197"/>
      <c r="B75" s="216"/>
      <c r="C75" s="17"/>
      <c r="D75" s="209"/>
      <c r="E75" s="316"/>
      <c r="F75" s="316"/>
      <c r="G75" s="316"/>
      <c r="H75" s="316"/>
      <c r="I75" s="309"/>
      <c r="J75" s="377"/>
      <c r="K75" s="317"/>
    </row>
    <row r="76" spans="1:11">
      <c r="A76" s="693" t="s">
        <v>34</v>
      </c>
      <c r="B76" s="694"/>
      <c r="C76" s="694"/>
      <c r="D76" s="694"/>
      <c r="E76" s="694"/>
      <c r="F76" s="694"/>
      <c r="G76" s="694"/>
      <c r="H76" s="694"/>
      <c r="I76" s="694"/>
      <c r="J76" s="694"/>
      <c r="K76" s="695"/>
    </row>
    <row r="77" spans="1:11" ht="15.75">
      <c r="A77" s="312">
        <v>4.0999999999999996</v>
      </c>
      <c r="B77" s="222" t="s">
        <v>47</v>
      </c>
      <c r="C77" s="196" t="str">
        <f>"0912-7LEK-B"&amp;A77&amp;"-"&amp;UPPER(LEFT(B77,1))</f>
        <v>0912-7LEK-B4.1-S</v>
      </c>
      <c r="D77" s="223">
        <v>2</v>
      </c>
      <c r="E77" s="224">
        <v>15</v>
      </c>
      <c r="F77" s="224">
        <v>15</v>
      </c>
      <c r="G77" s="224">
        <v>0</v>
      </c>
      <c r="H77" s="224">
        <v>0</v>
      </c>
      <c r="I77" s="224">
        <v>0</v>
      </c>
      <c r="J77" s="379">
        <v>25</v>
      </c>
      <c r="K77" s="224">
        <v>1</v>
      </c>
    </row>
    <row r="78" spans="1:11" ht="15.75">
      <c r="A78" s="319"/>
      <c r="B78" s="222"/>
      <c r="C78" s="196"/>
      <c r="D78" s="223"/>
      <c r="E78" s="224"/>
      <c r="F78" s="224"/>
      <c r="G78" s="224"/>
      <c r="H78" s="224"/>
      <c r="I78" s="224"/>
      <c r="J78" s="379"/>
      <c r="K78" s="224"/>
    </row>
    <row r="79" spans="1:11" ht="15.75">
      <c r="A79" s="197">
        <v>4.2</v>
      </c>
      <c r="B79" s="199" t="s">
        <v>48</v>
      </c>
      <c r="C79" s="17" t="str">
        <f>"0912-7LEK-B"&amp;A79&amp;"-"&amp;UPPER(LEFT(B79,1))</f>
        <v>0912-7LEK-B4.2-P</v>
      </c>
      <c r="D79" s="209">
        <v>2</v>
      </c>
      <c r="E79" s="210">
        <v>15</v>
      </c>
      <c r="F79" s="210">
        <v>15</v>
      </c>
      <c r="G79" s="210">
        <v>0</v>
      </c>
      <c r="H79" s="210">
        <v>0</v>
      </c>
      <c r="I79" s="210">
        <v>0</v>
      </c>
      <c r="J79" s="380">
        <v>25</v>
      </c>
      <c r="K79" s="210">
        <v>1</v>
      </c>
    </row>
    <row r="80" spans="1:11" ht="15.75">
      <c r="A80" s="6">
        <v>4.3</v>
      </c>
      <c r="B80" s="199" t="s">
        <v>49</v>
      </c>
      <c r="C80" s="17" t="str">
        <f>"0912-7LEK-B"&amp;A80&amp;"-"&amp;UPPER(LEFT(B80,1))</f>
        <v>0912-7LEK-B4.3-E</v>
      </c>
      <c r="D80" s="209">
        <v>1</v>
      </c>
      <c r="E80" s="210">
        <v>15</v>
      </c>
      <c r="F80" s="210">
        <v>15</v>
      </c>
      <c r="G80" s="210">
        <v>0</v>
      </c>
      <c r="H80" s="210">
        <v>0</v>
      </c>
      <c r="I80" s="210">
        <v>0</v>
      </c>
      <c r="J80" s="380">
        <v>25</v>
      </c>
      <c r="K80" s="210">
        <v>1</v>
      </c>
    </row>
    <row r="81" spans="1:11" ht="15.75">
      <c r="A81" s="197">
        <v>4.4000000000000004</v>
      </c>
      <c r="B81" s="199" t="s">
        <v>92</v>
      </c>
      <c r="C81" s="17" t="str">
        <f>"0912-7LEK-B"&amp;A81&amp;"-"&amp;UPPER(LEFT(B81,1))</f>
        <v>0912-7LEK-B4.4-E</v>
      </c>
      <c r="D81" s="209">
        <v>1</v>
      </c>
      <c r="E81" s="210">
        <v>15</v>
      </c>
      <c r="F81" s="210">
        <v>15</v>
      </c>
      <c r="G81" s="210">
        <v>0</v>
      </c>
      <c r="H81" s="210">
        <v>0</v>
      </c>
      <c r="I81" s="210">
        <v>0</v>
      </c>
      <c r="J81" s="380">
        <v>25</v>
      </c>
      <c r="K81" s="210">
        <v>1</v>
      </c>
    </row>
    <row r="82" spans="1:11" ht="15.75">
      <c r="A82" s="312">
        <v>4.5</v>
      </c>
      <c r="B82" s="199" t="s">
        <v>50</v>
      </c>
      <c r="C82" s="17" t="str">
        <f>"0912-7LEK-B"&amp;A82&amp;"-"&amp;UPPER(LEFT(B82,1))</f>
        <v>0912-7LEK-B4.5-H</v>
      </c>
      <c r="D82" s="209" t="s">
        <v>241</v>
      </c>
      <c r="E82" s="210">
        <v>30</v>
      </c>
      <c r="F82" s="210">
        <v>30</v>
      </c>
      <c r="G82" s="210">
        <v>0</v>
      </c>
      <c r="H82" s="210">
        <v>0</v>
      </c>
      <c r="I82" s="210">
        <v>0</v>
      </c>
      <c r="J82" s="380">
        <v>0</v>
      </c>
      <c r="K82" s="210">
        <v>1</v>
      </c>
    </row>
    <row r="83" spans="1:11">
      <c r="A83" s="700" t="s">
        <v>9</v>
      </c>
      <c r="B83" s="701"/>
      <c r="C83" s="701"/>
      <c r="D83" s="702"/>
      <c r="E83" s="221">
        <f t="shared" ref="E83:K83" si="4">SUM(E77:E82)</f>
        <v>90</v>
      </c>
      <c r="F83" s="221">
        <f t="shared" si="4"/>
        <v>90</v>
      </c>
      <c r="G83" s="221">
        <f t="shared" si="4"/>
        <v>0</v>
      </c>
      <c r="H83" s="221">
        <f t="shared" si="4"/>
        <v>0</v>
      </c>
      <c r="I83" s="221">
        <f t="shared" si="4"/>
        <v>0</v>
      </c>
      <c r="J83" s="376">
        <f t="shared" si="4"/>
        <v>100</v>
      </c>
      <c r="K83" s="221">
        <f t="shared" si="4"/>
        <v>5</v>
      </c>
    </row>
    <row r="84" spans="1:11" ht="15.75">
      <c r="A84" s="399"/>
      <c r="B84" s="356"/>
      <c r="C84" s="329"/>
      <c r="D84" s="330"/>
      <c r="E84" s="340"/>
      <c r="F84" s="340"/>
      <c r="G84" s="340"/>
      <c r="H84" s="340"/>
      <c r="I84" s="340"/>
      <c r="J84" s="384"/>
      <c r="K84" s="341"/>
    </row>
    <row r="85" spans="1:11">
      <c r="A85" s="754" t="s">
        <v>276</v>
      </c>
      <c r="B85" s="755"/>
      <c r="C85" s="755"/>
      <c r="D85" s="755"/>
      <c r="E85" s="755"/>
      <c r="F85" s="755"/>
      <c r="G85" s="755"/>
      <c r="H85" s="755"/>
      <c r="I85" s="755"/>
      <c r="J85" s="755"/>
      <c r="K85" s="756"/>
    </row>
    <row r="86" spans="1:11" ht="15.75">
      <c r="A86" s="197"/>
      <c r="B86" s="334" t="s">
        <v>300</v>
      </c>
      <c r="C86" s="17"/>
      <c r="D86" s="209" t="s">
        <v>143</v>
      </c>
      <c r="E86" s="316">
        <v>15</v>
      </c>
      <c r="F86" s="316"/>
      <c r="G86" s="316">
        <v>15</v>
      </c>
      <c r="H86" s="316"/>
      <c r="I86" s="309"/>
      <c r="J86" s="377">
        <v>25</v>
      </c>
      <c r="K86" s="317"/>
    </row>
    <row r="87" spans="1:11" ht="15.75">
      <c r="A87" s="197"/>
      <c r="B87" s="334" t="s">
        <v>303</v>
      </c>
      <c r="C87" s="395">
        <v>5</v>
      </c>
      <c r="D87" s="209" t="s">
        <v>145</v>
      </c>
      <c r="E87" s="316">
        <v>15</v>
      </c>
      <c r="F87" s="316"/>
      <c r="G87" s="316">
        <v>15</v>
      </c>
      <c r="H87" s="316"/>
      <c r="I87" s="309"/>
      <c r="J87" s="377">
        <v>25</v>
      </c>
      <c r="K87" s="317"/>
    </row>
    <row r="88" spans="1:11" ht="15.75">
      <c r="A88" s="397"/>
      <c r="B88" s="398" t="s">
        <v>304</v>
      </c>
      <c r="C88" s="395"/>
      <c r="D88" s="209" t="s">
        <v>145</v>
      </c>
      <c r="E88" s="316"/>
      <c r="F88" s="316"/>
      <c r="G88" s="316">
        <v>15</v>
      </c>
      <c r="H88" s="316"/>
      <c r="I88" s="339"/>
      <c r="J88" s="377">
        <v>25</v>
      </c>
      <c r="K88" s="317"/>
    </row>
    <row r="89" spans="1:11">
      <c r="A89" s="693" t="s">
        <v>25</v>
      </c>
      <c r="B89" s="694"/>
      <c r="C89" s="694"/>
      <c r="D89" s="694"/>
      <c r="E89" s="694"/>
      <c r="F89" s="694"/>
      <c r="G89" s="694"/>
      <c r="H89" s="694"/>
      <c r="I89" s="694"/>
      <c r="J89" s="694"/>
      <c r="K89" s="695"/>
    </row>
    <row r="90" spans="1:11" ht="15.75">
      <c r="A90" s="312">
        <v>5.0999999999999996</v>
      </c>
      <c r="B90" s="222" t="s">
        <v>51</v>
      </c>
      <c r="C90" s="196" t="str">
        <f>"0912-7LEK-C"&amp;A90&amp;"-"&amp;UPPER(LEFT(B90,1))</f>
        <v>0912-7LEK-C5.1-P</v>
      </c>
      <c r="D90" s="223" t="s">
        <v>273</v>
      </c>
      <c r="E90" s="224">
        <v>240</v>
      </c>
      <c r="F90" s="224">
        <v>60</v>
      </c>
      <c r="G90" s="224">
        <v>70</v>
      </c>
      <c r="H90" s="224">
        <v>110</v>
      </c>
      <c r="I90" s="224">
        <v>0</v>
      </c>
      <c r="J90" s="379">
        <v>375</v>
      </c>
      <c r="K90" s="224">
        <v>15</v>
      </c>
    </row>
    <row r="91" spans="1:11" ht="15.75">
      <c r="A91" s="6">
        <v>5.2</v>
      </c>
      <c r="B91" s="199" t="s">
        <v>80</v>
      </c>
      <c r="C91" s="17" t="str">
        <f>"0912-7LEK-C"&amp;A91&amp;"-"&amp;UPPER(LEFT(B91,1))&amp;"W"</f>
        <v>0912-7LEK-C5.2-CW</v>
      </c>
      <c r="D91" s="209" t="s">
        <v>273</v>
      </c>
      <c r="E91" s="210">
        <v>210</v>
      </c>
      <c r="F91" s="210">
        <v>60</v>
      </c>
      <c r="G91" s="210">
        <v>60</v>
      </c>
      <c r="H91" s="210">
        <v>90</v>
      </c>
      <c r="I91" s="210">
        <v>0</v>
      </c>
      <c r="J91" s="380">
        <v>300</v>
      </c>
      <c r="K91" s="210">
        <v>12</v>
      </c>
    </row>
    <row r="92" spans="1:11" ht="15.75">
      <c r="A92" s="6">
        <v>5.3</v>
      </c>
      <c r="B92" s="199" t="s">
        <v>52</v>
      </c>
      <c r="C92" s="17" t="str">
        <f t="shared" ref="C92:C99" si="5">"0912-7LEK-C"&amp;A92&amp;"-"&amp;UPPER(LEFT(B92,1))</f>
        <v>0912-7LEK-C5.3-G</v>
      </c>
      <c r="D92" s="209">
        <v>10</v>
      </c>
      <c r="E92" s="210">
        <v>55</v>
      </c>
      <c r="F92" s="210">
        <v>15</v>
      </c>
      <c r="G92" s="210">
        <v>40</v>
      </c>
      <c r="H92" s="210">
        <v>0</v>
      </c>
      <c r="I92" s="210">
        <v>0</v>
      </c>
      <c r="J92" s="380">
        <v>75</v>
      </c>
      <c r="K92" s="210">
        <v>3</v>
      </c>
    </row>
    <row r="93" spans="1:11" ht="15.75">
      <c r="A93" s="6">
        <v>5.4</v>
      </c>
      <c r="B93" s="199" t="s">
        <v>53</v>
      </c>
      <c r="C93" s="17" t="str">
        <f t="shared" si="5"/>
        <v>0912-7LEK-C5.4-N</v>
      </c>
      <c r="D93" s="209">
        <v>7</v>
      </c>
      <c r="E93" s="210">
        <v>60</v>
      </c>
      <c r="F93" s="210">
        <v>15</v>
      </c>
      <c r="G93" s="210">
        <v>15</v>
      </c>
      <c r="H93" s="210">
        <v>30</v>
      </c>
      <c r="I93" s="210">
        <v>0</v>
      </c>
      <c r="J93" s="380">
        <v>100</v>
      </c>
      <c r="K93" s="210">
        <v>4</v>
      </c>
    </row>
    <row r="94" spans="1:11" ht="15.75">
      <c r="A94" s="6">
        <v>5.5</v>
      </c>
      <c r="B94" s="199" t="s">
        <v>54</v>
      </c>
      <c r="C94" s="17" t="str">
        <f t="shared" si="5"/>
        <v>0912-7LEK-C5.5-P</v>
      </c>
      <c r="D94" s="209">
        <v>8</v>
      </c>
      <c r="E94" s="210">
        <v>60</v>
      </c>
      <c r="F94" s="210">
        <v>15</v>
      </c>
      <c r="G94" s="210">
        <v>15</v>
      </c>
      <c r="H94" s="210">
        <v>30</v>
      </c>
      <c r="I94" s="210">
        <v>0</v>
      </c>
      <c r="J94" s="380">
        <v>100</v>
      </c>
      <c r="K94" s="210">
        <v>4</v>
      </c>
    </row>
    <row r="95" spans="1:11" ht="15.75">
      <c r="A95" s="6">
        <v>5.6</v>
      </c>
      <c r="B95" s="199" t="s">
        <v>55</v>
      </c>
      <c r="C95" s="17" t="str">
        <f t="shared" si="5"/>
        <v>0912-7LEK-C5.6-O</v>
      </c>
      <c r="D95" s="209">
        <v>7</v>
      </c>
      <c r="E95" s="210">
        <v>55</v>
      </c>
      <c r="F95" s="210">
        <v>15</v>
      </c>
      <c r="G95" s="210">
        <v>15</v>
      </c>
      <c r="H95" s="210">
        <v>25</v>
      </c>
      <c r="I95" s="210">
        <v>0</v>
      </c>
      <c r="J95" s="380">
        <v>100</v>
      </c>
      <c r="K95" s="210">
        <v>4</v>
      </c>
    </row>
    <row r="96" spans="1:11" ht="15.75">
      <c r="A96" s="6">
        <v>5.7</v>
      </c>
      <c r="B96" s="199" t="s">
        <v>56</v>
      </c>
      <c r="C96" s="17" t="str">
        <f>"0912-7LEK-C"&amp;A96&amp;"-"&amp;UPPER(LEFT(B96,1))&amp;"R"</f>
        <v>0912-7LEK-C5.7-MR</v>
      </c>
      <c r="D96" s="209">
        <v>9</v>
      </c>
      <c r="E96" s="210">
        <v>55</v>
      </c>
      <c r="F96" s="210">
        <v>15</v>
      </c>
      <c r="G96" s="210">
        <v>40</v>
      </c>
      <c r="H96" s="210">
        <v>0</v>
      </c>
      <c r="I96" s="210">
        <v>0</v>
      </c>
      <c r="J96" s="380">
        <v>100</v>
      </c>
      <c r="K96" s="210">
        <v>4</v>
      </c>
    </row>
    <row r="97" spans="1:11" ht="15.75">
      <c r="A97" s="6">
        <v>5.8</v>
      </c>
      <c r="B97" s="199" t="s">
        <v>57</v>
      </c>
      <c r="C97" s="17" t="str">
        <f>"0912-7LEK-C"&amp;A97&amp;"-"&amp;UPPER(LEFT(B97,1))&amp;"iW"</f>
        <v>0912-7LEK-C5.8-DiW</v>
      </c>
      <c r="D97" s="209">
        <v>6</v>
      </c>
      <c r="E97" s="210">
        <v>55</v>
      </c>
      <c r="F97" s="210">
        <v>15</v>
      </c>
      <c r="G97" s="210">
        <v>15</v>
      </c>
      <c r="H97" s="210">
        <v>25</v>
      </c>
      <c r="I97" s="210">
        <v>0</v>
      </c>
      <c r="J97" s="380">
        <v>75</v>
      </c>
      <c r="K97" s="210">
        <v>3</v>
      </c>
    </row>
    <row r="98" spans="1:11" ht="15.75">
      <c r="A98" s="6">
        <v>5.9</v>
      </c>
      <c r="B98" s="199" t="s">
        <v>58</v>
      </c>
      <c r="C98" s="17" t="str">
        <f>"0912-7LEK-C"&amp;A98&amp;"-"&amp;UPPER(LEFT(B98,1))&amp;"Z"</f>
        <v>0912-7LEK-C5.9-CZ</v>
      </c>
      <c r="D98" s="209" t="s">
        <v>147</v>
      </c>
      <c r="E98" s="210">
        <v>70</v>
      </c>
      <c r="F98" s="210">
        <v>15</v>
      </c>
      <c r="G98" s="210">
        <v>20</v>
      </c>
      <c r="H98" s="210">
        <v>35</v>
      </c>
      <c r="I98" s="210">
        <v>0</v>
      </c>
      <c r="J98" s="380">
        <v>100</v>
      </c>
      <c r="K98" s="210">
        <v>4</v>
      </c>
    </row>
    <row r="99" spans="1:11" ht="15.75">
      <c r="A99" s="201">
        <v>5.0999999999999996</v>
      </c>
      <c r="B99" s="199" t="s">
        <v>59</v>
      </c>
      <c r="C99" s="17" t="str">
        <f t="shared" si="5"/>
        <v>0912-7LEK-C5.1-R</v>
      </c>
      <c r="D99" s="209">
        <v>7</v>
      </c>
      <c r="E99" s="210">
        <v>50</v>
      </c>
      <c r="F99" s="210">
        <v>15</v>
      </c>
      <c r="G99" s="210">
        <v>15</v>
      </c>
      <c r="H99" s="210">
        <v>20</v>
      </c>
      <c r="I99" s="210">
        <v>0</v>
      </c>
      <c r="J99" s="380">
        <v>70</v>
      </c>
      <c r="K99" s="210">
        <v>3</v>
      </c>
    </row>
    <row r="100" spans="1:11" ht="15.75">
      <c r="A100" s="201">
        <v>5.1100000000000003</v>
      </c>
      <c r="B100" s="199" t="s">
        <v>60</v>
      </c>
      <c r="C100" s="17" t="str">
        <f>"0912-7LEK-C"&amp;A100&amp;"-"&amp;UPPER(LEFT(B100,1))&amp;"L"</f>
        <v>0912-7LEK-C5.11-DL</v>
      </c>
      <c r="D100" s="209" t="s">
        <v>145</v>
      </c>
      <c r="E100" s="210">
        <v>55</v>
      </c>
      <c r="F100" s="210">
        <v>15</v>
      </c>
      <c r="G100" s="210">
        <v>40</v>
      </c>
      <c r="H100" s="210">
        <v>0</v>
      </c>
      <c r="I100" s="210">
        <v>0</v>
      </c>
      <c r="J100" s="380">
        <v>100</v>
      </c>
      <c r="K100" s="210">
        <v>4</v>
      </c>
    </row>
    <row r="101" spans="1:11" ht="15.75">
      <c r="A101" s="201">
        <v>5.12</v>
      </c>
      <c r="B101" s="199" t="s">
        <v>61</v>
      </c>
      <c r="C101" s="17" t="str">
        <f>"0912-7LEK-C"&amp;A101&amp;"-"&amp;UPPER(LEFT(B101,1))&amp;"K"</f>
        <v>0912-7LEK-C5.12-FK</v>
      </c>
      <c r="D101" s="209" t="s">
        <v>144</v>
      </c>
      <c r="E101" s="210">
        <v>45</v>
      </c>
      <c r="F101" s="210">
        <v>20</v>
      </c>
      <c r="G101" s="210">
        <v>10</v>
      </c>
      <c r="H101" s="210">
        <v>15</v>
      </c>
      <c r="I101" s="210">
        <v>0</v>
      </c>
      <c r="J101" s="380">
        <v>65</v>
      </c>
      <c r="K101" s="210">
        <v>3</v>
      </c>
    </row>
    <row r="102" spans="1:11">
      <c r="A102" s="700" t="s">
        <v>9</v>
      </c>
      <c r="B102" s="701"/>
      <c r="C102" s="701"/>
      <c r="D102" s="702"/>
      <c r="E102" s="221">
        <f t="shared" ref="E102:K102" si="6">SUM(E90:E101)</f>
        <v>1010</v>
      </c>
      <c r="F102" s="221">
        <f t="shared" si="6"/>
        <v>275</v>
      </c>
      <c r="G102" s="221">
        <f t="shared" si="6"/>
        <v>355</v>
      </c>
      <c r="H102" s="221">
        <f t="shared" si="6"/>
        <v>380</v>
      </c>
      <c r="I102" s="221">
        <f t="shared" si="6"/>
        <v>0</v>
      </c>
      <c r="J102" s="376">
        <f t="shared" si="6"/>
        <v>1560</v>
      </c>
      <c r="K102" s="221">
        <f t="shared" si="6"/>
        <v>63</v>
      </c>
    </row>
    <row r="103" spans="1:11" ht="15" customHeight="1">
      <c r="A103" s="754" t="s">
        <v>276</v>
      </c>
      <c r="B103" s="755"/>
      <c r="C103" s="755"/>
      <c r="D103" s="755"/>
      <c r="E103" s="755"/>
      <c r="F103" s="755"/>
      <c r="G103" s="755"/>
      <c r="H103" s="755"/>
      <c r="I103" s="755"/>
      <c r="J103" s="755"/>
      <c r="K103" s="756"/>
    </row>
    <row r="104" spans="1:11" ht="15" customHeight="1">
      <c r="A104" s="320"/>
      <c r="B104" s="321"/>
      <c r="C104" s="321"/>
      <c r="D104" s="321"/>
      <c r="E104" s="323"/>
      <c r="F104" s="323"/>
      <c r="G104" s="323"/>
      <c r="H104" s="323"/>
      <c r="I104" s="323"/>
      <c r="J104" s="381"/>
      <c r="K104" s="324"/>
    </row>
    <row r="105" spans="1:11" ht="15.75">
      <c r="A105" s="197"/>
      <c r="B105" s="222" t="s">
        <v>51</v>
      </c>
      <c r="C105" s="17"/>
      <c r="D105" s="209"/>
      <c r="E105" s="316"/>
      <c r="F105" s="316"/>
      <c r="G105" s="316"/>
      <c r="H105" s="316"/>
      <c r="I105" s="309"/>
      <c r="J105" s="377"/>
      <c r="K105" s="317"/>
    </row>
    <row r="106" spans="1:11" ht="15.75">
      <c r="A106" s="197"/>
      <c r="B106" s="345" t="s">
        <v>306</v>
      </c>
      <c r="C106" s="17"/>
      <c r="D106" s="209" t="s">
        <v>144</v>
      </c>
      <c r="E106" s="316">
        <v>15</v>
      </c>
      <c r="F106" s="316">
        <v>15</v>
      </c>
      <c r="G106" s="316"/>
      <c r="H106" s="316"/>
      <c r="I106" s="326"/>
      <c r="J106" s="377">
        <v>25</v>
      </c>
      <c r="K106" s="317"/>
    </row>
    <row r="107" spans="1:11" ht="15.75">
      <c r="A107" s="197"/>
      <c r="B107" s="410" t="s">
        <v>164</v>
      </c>
      <c r="C107" s="17"/>
      <c r="D107" s="209" t="s">
        <v>129</v>
      </c>
      <c r="E107" s="316">
        <v>35</v>
      </c>
      <c r="F107" s="316">
        <v>15</v>
      </c>
      <c r="G107" s="316">
        <v>20</v>
      </c>
      <c r="H107" s="316"/>
      <c r="I107" s="339"/>
      <c r="J107" s="377">
        <v>50</v>
      </c>
      <c r="K107" s="317"/>
    </row>
    <row r="108" spans="1:11" ht="15.75">
      <c r="A108" s="197"/>
      <c r="B108" s="410" t="s">
        <v>294</v>
      </c>
      <c r="C108" s="17"/>
      <c r="D108" s="209" t="s">
        <v>129</v>
      </c>
      <c r="E108" s="316">
        <v>35</v>
      </c>
      <c r="F108" s="316">
        <v>15</v>
      </c>
      <c r="G108" s="316">
        <v>20</v>
      </c>
      <c r="H108" s="316"/>
      <c r="I108" s="339"/>
      <c r="J108" s="377">
        <v>50</v>
      </c>
      <c r="K108" s="317"/>
    </row>
    <row r="109" spans="1:11" ht="15.75">
      <c r="A109" s="197"/>
      <c r="B109" s="345" t="s">
        <v>308</v>
      </c>
      <c r="C109" s="17"/>
      <c r="D109" s="209" t="s">
        <v>144</v>
      </c>
      <c r="E109" s="316">
        <v>15</v>
      </c>
      <c r="F109" s="316">
        <v>15</v>
      </c>
      <c r="G109" s="316"/>
      <c r="H109" s="316"/>
      <c r="I109" s="339"/>
      <c r="J109" s="377">
        <v>25</v>
      </c>
      <c r="K109" s="317"/>
    </row>
    <row r="110" spans="1:11" ht="15.75">
      <c r="A110" s="197"/>
      <c r="B110" s="199" t="s">
        <v>80</v>
      </c>
      <c r="C110" s="17"/>
      <c r="D110" s="209"/>
      <c r="E110" s="316"/>
      <c r="F110" s="316"/>
      <c r="G110" s="316"/>
      <c r="H110" s="316"/>
      <c r="I110" s="318"/>
      <c r="J110" s="377"/>
      <c r="K110" s="317"/>
    </row>
    <row r="111" spans="1:11" ht="15.75">
      <c r="A111" s="197"/>
      <c r="B111" s="409" t="s">
        <v>182</v>
      </c>
      <c r="C111" s="17"/>
      <c r="D111" s="209" t="s">
        <v>129</v>
      </c>
      <c r="E111" s="316">
        <v>35</v>
      </c>
      <c r="F111" s="316">
        <v>15</v>
      </c>
      <c r="G111" s="316">
        <v>20</v>
      </c>
      <c r="H111" s="316"/>
      <c r="I111" s="339"/>
      <c r="J111" s="377">
        <v>50</v>
      </c>
      <c r="K111" s="317"/>
    </row>
    <row r="112" spans="1:11" ht="15.75">
      <c r="A112" s="197"/>
      <c r="B112" s="409" t="s">
        <v>178</v>
      </c>
      <c r="C112" s="17"/>
      <c r="D112" s="209" t="s">
        <v>129</v>
      </c>
      <c r="E112" s="316">
        <v>35</v>
      </c>
      <c r="F112" s="316">
        <v>15</v>
      </c>
      <c r="G112" s="316">
        <v>20</v>
      </c>
      <c r="H112" s="316"/>
      <c r="I112" s="339"/>
      <c r="J112" s="377">
        <v>50</v>
      </c>
      <c r="K112" s="317"/>
    </row>
    <row r="113" spans="1:11" ht="15.75">
      <c r="A113" s="197"/>
      <c r="B113" s="409" t="s">
        <v>163</v>
      </c>
      <c r="C113" s="17"/>
      <c r="D113" s="209" t="s">
        <v>129</v>
      </c>
      <c r="E113" s="316">
        <v>35</v>
      </c>
      <c r="F113" s="316">
        <v>15</v>
      </c>
      <c r="G113" s="316">
        <v>20</v>
      </c>
      <c r="H113" s="316"/>
      <c r="I113" s="339"/>
      <c r="J113" s="377">
        <v>50</v>
      </c>
      <c r="K113" s="317"/>
    </row>
    <row r="114" spans="1:11" ht="15.75">
      <c r="A114" s="197"/>
      <c r="B114" s="409" t="s">
        <v>175</v>
      </c>
      <c r="C114" s="17"/>
      <c r="D114" s="209" t="s">
        <v>129</v>
      </c>
      <c r="E114" s="316">
        <v>35</v>
      </c>
      <c r="F114" s="316">
        <v>15</v>
      </c>
      <c r="G114" s="316">
        <v>20</v>
      </c>
      <c r="H114" s="316"/>
      <c r="I114" s="339"/>
      <c r="J114" s="377">
        <v>50</v>
      </c>
      <c r="K114" s="317"/>
    </row>
    <row r="115" spans="1:11" ht="15.75">
      <c r="A115" s="197"/>
      <c r="B115" s="388" t="s">
        <v>161</v>
      </c>
      <c r="C115" s="404"/>
      <c r="D115" s="220" t="s">
        <v>144</v>
      </c>
      <c r="E115" s="316">
        <v>15</v>
      </c>
      <c r="F115" s="316">
        <v>15</v>
      </c>
      <c r="G115" s="316"/>
      <c r="H115" s="316"/>
      <c r="I115" s="339"/>
      <c r="J115" s="377">
        <v>25</v>
      </c>
      <c r="K115" s="317"/>
    </row>
    <row r="116" spans="1:11">
      <c r="A116" s="197"/>
      <c r="B116" s="416" t="s">
        <v>172</v>
      </c>
      <c r="C116" s="216"/>
      <c r="D116" s="239">
        <v>10</v>
      </c>
      <c r="E116" s="216">
        <v>15</v>
      </c>
      <c r="F116" s="316">
        <v>15</v>
      </c>
      <c r="G116" s="316"/>
      <c r="H116" s="316"/>
      <c r="I116" s="339"/>
      <c r="J116" s="377">
        <v>25</v>
      </c>
      <c r="K116" s="317"/>
    </row>
    <row r="117" spans="1:11" ht="15.75">
      <c r="A117" s="197"/>
      <c r="B117" s="199" t="s">
        <v>52</v>
      </c>
      <c r="C117" s="17"/>
      <c r="D117" s="209"/>
      <c r="E117" s="316"/>
      <c r="F117" s="316"/>
      <c r="G117" s="316"/>
      <c r="H117" s="316"/>
      <c r="I117" s="318"/>
      <c r="J117" s="377"/>
      <c r="K117" s="317"/>
    </row>
    <row r="118" spans="1:11" ht="15.75">
      <c r="A118" s="197"/>
      <c r="B118" s="199" t="s">
        <v>53</v>
      </c>
      <c r="C118" s="17"/>
      <c r="D118" s="209"/>
      <c r="E118" s="316"/>
      <c r="F118" s="316"/>
      <c r="G118" s="316"/>
      <c r="H118" s="316"/>
      <c r="I118" s="318"/>
      <c r="J118" s="377"/>
      <c r="K118" s="317"/>
    </row>
    <row r="119" spans="1:11" ht="15.75">
      <c r="A119" s="197"/>
      <c r="B119" s="199" t="s">
        <v>54</v>
      </c>
      <c r="C119" s="17"/>
      <c r="D119" s="209"/>
      <c r="E119" s="316"/>
      <c r="F119" s="316"/>
      <c r="G119" s="316"/>
      <c r="H119" s="316"/>
      <c r="I119" s="318"/>
      <c r="J119" s="377"/>
      <c r="K119" s="317"/>
    </row>
    <row r="120" spans="1:11" ht="15.75">
      <c r="A120" s="197"/>
      <c r="B120" s="407" t="s">
        <v>296</v>
      </c>
      <c r="C120" s="17"/>
      <c r="D120" s="209" t="s">
        <v>129</v>
      </c>
      <c r="E120" s="316">
        <v>15</v>
      </c>
      <c r="F120" s="316">
        <v>15</v>
      </c>
      <c r="G120" s="316"/>
      <c r="H120" s="316"/>
      <c r="I120" s="339"/>
      <c r="J120" s="377">
        <v>25</v>
      </c>
      <c r="K120" s="317"/>
    </row>
    <row r="121" spans="1:11">
      <c r="A121" s="197"/>
      <c r="B121" s="416" t="s">
        <v>297</v>
      </c>
      <c r="C121" s="17"/>
      <c r="D121" s="209" t="s">
        <v>132</v>
      </c>
      <c r="E121" s="316">
        <v>15</v>
      </c>
      <c r="F121" s="316">
        <v>15</v>
      </c>
      <c r="G121" s="316"/>
      <c r="H121" s="316"/>
      <c r="I121" s="339"/>
      <c r="J121" s="377">
        <v>25</v>
      </c>
      <c r="K121" s="317"/>
    </row>
    <row r="122" spans="1:11" ht="15.75">
      <c r="A122" s="197"/>
      <c r="B122" s="199" t="s">
        <v>55</v>
      </c>
      <c r="C122" s="17"/>
      <c r="D122" s="209"/>
      <c r="E122" s="316"/>
      <c r="F122" s="316"/>
      <c r="G122" s="316"/>
      <c r="H122" s="316"/>
      <c r="I122" s="318"/>
      <c r="J122" s="377"/>
      <c r="K122" s="317"/>
    </row>
    <row r="123" spans="1:11" ht="15.75">
      <c r="A123" s="197"/>
      <c r="B123" s="407" t="s">
        <v>177</v>
      </c>
      <c r="C123" s="17"/>
      <c r="D123" s="209" t="s">
        <v>129</v>
      </c>
      <c r="E123" s="316">
        <v>35</v>
      </c>
      <c r="F123" s="316">
        <v>15</v>
      </c>
      <c r="G123" s="316">
        <v>20</v>
      </c>
      <c r="H123" s="316"/>
      <c r="I123" s="339"/>
      <c r="J123" s="377">
        <v>50</v>
      </c>
      <c r="K123" s="317"/>
    </row>
    <row r="124" spans="1:11" ht="15.75">
      <c r="A124" s="197"/>
      <c r="B124" s="407" t="s">
        <v>168</v>
      </c>
      <c r="C124" s="17"/>
      <c r="D124" s="209" t="s">
        <v>129</v>
      </c>
      <c r="E124" s="316">
        <v>35</v>
      </c>
      <c r="F124" s="316">
        <v>15</v>
      </c>
      <c r="G124" s="316">
        <v>20</v>
      </c>
      <c r="H124" s="316"/>
      <c r="I124" s="339"/>
      <c r="J124" s="377">
        <v>50</v>
      </c>
      <c r="K124" s="317"/>
    </row>
    <row r="125" spans="1:11" ht="15.75">
      <c r="A125" s="197"/>
      <c r="B125" s="411" t="s">
        <v>167</v>
      </c>
      <c r="C125" s="17"/>
      <c r="D125" s="209" t="s">
        <v>129</v>
      </c>
      <c r="E125" s="316">
        <v>35</v>
      </c>
      <c r="F125" s="316">
        <v>15</v>
      </c>
      <c r="G125" s="316">
        <v>20</v>
      </c>
      <c r="H125" s="316"/>
      <c r="I125" s="339"/>
      <c r="J125" s="377">
        <v>50</v>
      </c>
      <c r="K125" s="317"/>
    </row>
    <row r="126" spans="1:11" ht="15.75">
      <c r="A126" s="197"/>
      <c r="B126" s="199" t="s">
        <v>56</v>
      </c>
      <c r="C126" s="17"/>
      <c r="D126" s="209"/>
      <c r="E126" s="316"/>
      <c r="F126" s="316"/>
      <c r="G126" s="316"/>
      <c r="H126" s="316"/>
      <c r="I126" s="318"/>
      <c r="J126" s="377"/>
      <c r="K126" s="317"/>
    </row>
    <row r="127" spans="1:11" ht="15.75">
      <c r="A127" s="197"/>
      <c r="B127" s="199" t="s">
        <v>57</v>
      </c>
      <c r="C127" s="17"/>
      <c r="D127" s="209"/>
      <c r="E127" s="316"/>
      <c r="F127" s="316"/>
      <c r="G127" s="316"/>
      <c r="H127" s="316"/>
      <c r="I127" s="318"/>
      <c r="J127" s="377"/>
      <c r="K127" s="317"/>
    </row>
    <row r="128" spans="1:11" ht="15.75">
      <c r="A128" s="197"/>
      <c r="B128" s="407" t="s">
        <v>160</v>
      </c>
      <c r="C128" s="17"/>
      <c r="D128" s="209" t="s">
        <v>147</v>
      </c>
      <c r="E128" s="316">
        <v>15</v>
      </c>
      <c r="F128" s="316">
        <v>15</v>
      </c>
      <c r="G128" s="316"/>
      <c r="H128" s="316"/>
      <c r="I128" s="318"/>
      <c r="J128" s="377">
        <v>25</v>
      </c>
      <c r="K128" s="317"/>
    </row>
    <row r="129" spans="1:14" ht="15.75">
      <c r="A129" s="197"/>
      <c r="B129" s="199" t="s">
        <v>58</v>
      </c>
      <c r="C129" s="17"/>
      <c r="D129" s="209"/>
      <c r="E129" s="316"/>
      <c r="F129" s="316"/>
      <c r="G129" s="316"/>
      <c r="H129" s="316"/>
      <c r="I129" s="318"/>
      <c r="J129" s="377"/>
      <c r="K129" s="317"/>
    </row>
    <row r="130" spans="1:14" ht="15.75">
      <c r="A130" s="197"/>
      <c r="B130" s="334" t="s">
        <v>159</v>
      </c>
      <c r="C130" s="17"/>
      <c r="D130" s="209" t="s">
        <v>147</v>
      </c>
      <c r="E130" s="316">
        <v>15</v>
      </c>
      <c r="F130" s="316">
        <v>15</v>
      </c>
      <c r="G130" s="316"/>
      <c r="H130" s="316"/>
      <c r="I130" s="339"/>
      <c r="J130" s="377">
        <v>25</v>
      </c>
      <c r="K130" s="317"/>
    </row>
    <row r="131" spans="1:14" ht="15.75">
      <c r="A131" s="197"/>
      <c r="B131" s="199" t="s">
        <v>59</v>
      </c>
      <c r="C131" s="17"/>
      <c r="D131" s="209"/>
      <c r="E131" s="316"/>
      <c r="F131" s="316"/>
      <c r="G131" s="316"/>
      <c r="H131" s="316"/>
      <c r="I131" s="318"/>
      <c r="J131" s="377"/>
      <c r="K131" s="317"/>
    </row>
    <row r="132" spans="1:14" ht="15.75">
      <c r="A132" s="197"/>
      <c r="B132" s="199" t="s">
        <v>60</v>
      </c>
      <c r="C132" s="17"/>
      <c r="D132" s="209"/>
      <c r="E132" s="316"/>
      <c r="F132" s="316"/>
      <c r="G132" s="316"/>
      <c r="H132" s="316"/>
      <c r="I132" s="318"/>
      <c r="J132" s="377"/>
      <c r="K132" s="317"/>
    </row>
    <row r="133" spans="1:14" ht="15.75">
      <c r="A133" s="197"/>
      <c r="B133" s="199"/>
      <c r="C133" s="17"/>
      <c r="D133" s="209"/>
      <c r="E133" s="316"/>
      <c r="F133" s="316"/>
      <c r="G133" s="316"/>
      <c r="H133" s="316"/>
      <c r="I133" s="339"/>
      <c r="J133" s="377"/>
      <c r="K133" s="317"/>
    </row>
    <row r="134" spans="1:14" ht="15.75">
      <c r="A134" s="197"/>
      <c r="B134" s="199" t="s">
        <v>61</v>
      </c>
      <c r="C134" s="17"/>
      <c r="D134" s="209"/>
      <c r="E134" s="316"/>
      <c r="F134" s="316"/>
      <c r="G134" s="316"/>
      <c r="H134" s="316"/>
      <c r="I134" s="318"/>
      <c r="J134" s="377"/>
      <c r="K134" s="317"/>
    </row>
    <row r="135" spans="1:14" ht="15.75">
      <c r="A135" s="197"/>
      <c r="B135" s="408" t="s">
        <v>291</v>
      </c>
      <c r="C135" s="17"/>
      <c r="D135" s="209" t="s">
        <v>147</v>
      </c>
      <c r="E135" s="316">
        <v>15</v>
      </c>
      <c r="F135" s="316">
        <v>15</v>
      </c>
      <c r="G135" s="316"/>
      <c r="H135" s="316"/>
      <c r="I135" s="318"/>
      <c r="J135" s="377">
        <v>25</v>
      </c>
      <c r="K135" s="317"/>
    </row>
    <row r="136" spans="1:14">
      <c r="A136" s="197"/>
      <c r="B136" s="416" t="s">
        <v>174</v>
      </c>
      <c r="C136" s="17"/>
      <c r="D136" s="209" t="s">
        <v>132</v>
      </c>
      <c r="E136" s="316">
        <v>15</v>
      </c>
      <c r="F136" s="316">
        <v>15</v>
      </c>
      <c r="G136" s="316"/>
      <c r="H136" s="316"/>
      <c r="I136" s="309"/>
      <c r="J136" s="377">
        <v>25</v>
      </c>
      <c r="K136" s="317"/>
    </row>
    <row r="137" spans="1:14">
      <c r="A137" s="693" t="s">
        <v>26</v>
      </c>
      <c r="B137" s="694"/>
      <c r="C137" s="694"/>
      <c r="D137" s="694"/>
      <c r="E137" s="694"/>
      <c r="F137" s="694"/>
      <c r="G137" s="694"/>
      <c r="H137" s="694"/>
      <c r="I137" s="694"/>
      <c r="J137" s="694"/>
      <c r="K137" s="695"/>
    </row>
    <row r="138" spans="1:14" ht="15.75">
      <c r="A138" s="312">
        <v>6.1</v>
      </c>
      <c r="B138" s="222" t="s">
        <v>62</v>
      </c>
      <c r="C138" s="292" t="str">
        <f>"0912-7LEK-C"&amp;A138&amp;"-"&amp;UPPER(LEFT(B138,1))&amp;"iIT"</f>
        <v>0912-7LEK-C6.1-AiIT</v>
      </c>
      <c r="D138" s="293" t="s">
        <v>245</v>
      </c>
      <c r="E138" s="294">
        <v>95</v>
      </c>
      <c r="F138" s="294">
        <v>30</v>
      </c>
      <c r="G138" s="294">
        <v>30</v>
      </c>
      <c r="H138" s="294">
        <v>35</v>
      </c>
      <c r="I138" s="294">
        <v>0</v>
      </c>
      <c r="J138" s="382">
        <v>125</v>
      </c>
      <c r="K138" s="294">
        <v>5</v>
      </c>
    </row>
    <row r="139" spans="1:14" ht="15.75">
      <c r="A139" s="6">
        <v>6.2</v>
      </c>
      <c r="B139" s="199" t="s">
        <v>63</v>
      </c>
      <c r="C139" s="196" t="str">
        <f>"0912-7LEK-C"&amp;A139&amp;"-"&amp;UPPER(LEFT(B139,1))&amp;""</f>
        <v>0912-7LEK-C6.2-C</v>
      </c>
      <c r="D139" s="209" t="s">
        <v>246</v>
      </c>
      <c r="E139" s="210">
        <v>255</v>
      </c>
      <c r="F139" s="210">
        <v>90</v>
      </c>
      <c r="G139" s="210">
        <v>90</v>
      </c>
      <c r="H139" s="210">
        <v>75</v>
      </c>
      <c r="I139" s="210">
        <v>0</v>
      </c>
      <c r="J139" s="380">
        <v>375</v>
      </c>
      <c r="K139" s="210">
        <v>15</v>
      </c>
    </row>
    <row r="140" spans="1:14" ht="15.75">
      <c r="A140" s="6">
        <v>6.3</v>
      </c>
      <c r="B140" s="199" t="s">
        <v>64</v>
      </c>
      <c r="C140" s="196" t="str">
        <f>"0912-7LEK-C"&amp;A140&amp;"-"&amp;UPPER(LEFT(B140,1))&amp;"D"</f>
        <v>0912-7LEK-C6.3-CD</v>
      </c>
      <c r="D140" s="209">
        <v>9</v>
      </c>
      <c r="E140" s="210">
        <v>55</v>
      </c>
      <c r="F140" s="210">
        <v>15</v>
      </c>
      <c r="G140" s="210">
        <v>15</v>
      </c>
      <c r="H140" s="210">
        <v>25</v>
      </c>
      <c r="I140" s="210">
        <v>0</v>
      </c>
      <c r="J140" s="380">
        <v>75</v>
      </c>
      <c r="K140" s="210">
        <v>3</v>
      </c>
    </row>
    <row r="141" spans="1:14" ht="15.75">
      <c r="A141" s="6">
        <v>6.4</v>
      </c>
      <c r="B141" s="199" t="s">
        <v>65</v>
      </c>
      <c r="C141" s="196" t="str">
        <f>"0912-7LEK-C"&amp;A141&amp;"-"&amp;UPPER(LEFT(B141,1))&amp;"iT"</f>
        <v>0912-7LEK-C6.4-OiT</v>
      </c>
      <c r="D141" s="209">
        <v>10</v>
      </c>
      <c r="E141" s="210">
        <v>55</v>
      </c>
      <c r="F141" s="210">
        <v>15</v>
      </c>
      <c r="G141" s="210">
        <v>15</v>
      </c>
      <c r="H141" s="210">
        <v>25</v>
      </c>
      <c r="I141" s="210">
        <v>0</v>
      </c>
      <c r="J141" s="380">
        <v>75</v>
      </c>
      <c r="K141" s="210">
        <v>3</v>
      </c>
    </row>
    <row r="142" spans="1:14" ht="15.75">
      <c r="A142" s="6">
        <v>6.5</v>
      </c>
      <c r="B142" s="199" t="s">
        <v>66</v>
      </c>
      <c r="C142" s="196" t="str">
        <f>"0912-7LEK-C"&amp;A142&amp;"-"&amp;UPPER(LEFT(B142,1))&amp;"O"</f>
        <v>0912-7LEK-C6.5-CO</v>
      </c>
      <c r="D142" s="209">
        <v>10</v>
      </c>
      <c r="E142" s="210">
        <v>45</v>
      </c>
      <c r="F142" s="210">
        <v>15</v>
      </c>
      <c r="G142" s="210">
        <v>10</v>
      </c>
      <c r="H142" s="210">
        <v>20</v>
      </c>
      <c r="I142" s="210">
        <v>0</v>
      </c>
      <c r="J142" s="380">
        <v>50</v>
      </c>
      <c r="K142" s="210">
        <v>2</v>
      </c>
      <c r="N142" s="338"/>
    </row>
    <row r="143" spans="1:14" ht="15.75">
      <c r="A143" s="6">
        <v>6.6</v>
      </c>
      <c r="B143" s="202" t="s">
        <v>67</v>
      </c>
      <c r="C143" s="196" t="str">
        <f>"0912-7LEK-C"&amp;A143&amp;"-"&amp;UPPER(LEFT(B143,1))&amp;""</f>
        <v>0912-7LEK-C6.6-U</v>
      </c>
      <c r="D143" s="209">
        <v>10</v>
      </c>
      <c r="E143" s="210">
        <v>45</v>
      </c>
      <c r="F143" s="210">
        <v>15</v>
      </c>
      <c r="G143" s="210">
        <v>15</v>
      </c>
      <c r="H143" s="210">
        <v>15</v>
      </c>
      <c r="I143" s="210">
        <v>0</v>
      </c>
      <c r="J143" s="380">
        <v>75</v>
      </c>
      <c r="K143" s="210">
        <v>3</v>
      </c>
    </row>
    <row r="144" spans="1:14" ht="15.75">
      <c r="A144" s="6">
        <v>6.7</v>
      </c>
      <c r="B144" s="202" t="s">
        <v>68</v>
      </c>
      <c r="C144" s="196" t="str">
        <f>"0912-7LEK-C"&amp;A144&amp;"-"&amp;UPPER(LEFT(B144,1))&amp;""</f>
        <v>0912-7LEK-C6.7-O</v>
      </c>
      <c r="D144" s="209">
        <v>9</v>
      </c>
      <c r="E144" s="210">
        <v>45</v>
      </c>
      <c r="F144" s="210">
        <v>15</v>
      </c>
      <c r="G144" s="210">
        <v>30</v>
      </c>
      <c r="H144" s="210">
        <v>0</v>
      </c>
      <c r="I144" s="210">
        <v>0</v>
      </c>
      <c r="J144" s="380">
        <v>75</v>
      </c>
      <c r="K144" s="210">
        <v>3</v>
      </c>
    </row>
    <row r="145" spans="1:11" ht="18.75" customHeight="1">
      <c r="A145" s="6">
        <v>6.8</v>
      </c>
      <c r="B145" s="202" t="s">
        <v>69</v>
      </c>
      <c r="C145" s="196" t="str">
        <f>"0912-7LEK-C"&amp;A145&amp;"-"&amp;UPPER(LEFT(B145,1))&amp;"R"</f>
        <v>0912-7LEK-C6.8-MR</v>
      </c>
      <c r="D145" s="209">
        <v>10</v>
      </c>
      <c r="E145" s="210">
        <v>40</v>
      </c>
      <c r="F145" s="210">
        <v>15</v>
      </c>
      <c r="G145" s="210">
        <v>10</v>
      </c>
      <c r="H145" s="210">
        <v>15</v>
      </c>
      <c r="I145" s="210">
        <v>0</v>
      </c>
      <c r="J145" s="380">
        <v>50</v>
      </c>
      <c r="K145" s="210">
        <v>2</v>
      </c>
    </row>
    <row r="146" spans="1:11" ht="15.75">
      <c r="A146" s="6">
        <v>6.9</v>
      </c>
      <c r="B146" s="202" t="s">
        <v>70</v>
      </c>
      <c r="C146" s="196" t="str">
        <f>"0912-7LEK-C"&amp;A146&amp;"-"&amp;UPPER(LEFT(B146,1))&amp;"iP"</f>
        <v>0912-7LEK-C6.9-GiP</v>
      </c>
      <c r="D146" s="209" t="s">
        <v>247</v>
      </c>
      <c r="E146" s="210">
        <v>110</v>
      </c>
      <c r="F146" s="210">
        <v>30</v>
      </c>
      <c r="G146" s="210">
        <v>55</v>
      </c>
      <c r="H146" s="210">
        <v>25</v>
      </c>
      <c r="I146" s="210">
        <v>0</v>
      </c>
      <c r="J146" s="380">
        <v>150</v>
      </c>
      <c r="K146" s="210">
        <v>6</v>
      </c>
    </row>
    <row r="147" spans="1:11" ht="15.75">
      <c r="A147" s="201">
        <v>6.1</v>
      </c>
      <c r="B147" s="202" t="s">
        <v>71</v>
      </c>
      <c r="C147" s="196" t="str">
        <f>"0912-7LEK-C"&amp;A147&amp;"-"&amp;UPPER(LEFT(B147,1))&amp;""</f>
        <v>0912-7LEK-C6.1-O</v>
      </c>
      <c r="D147" s="209">
        <v>10</v>
      </c>
      <c r="E147" s="210">
        <v>40</v>
      </c>
      <c r="F147" s="210">
        <v>15</v>
      </c>
      <c r="G147" s="210">
        <v>10</v>
      </c>
      <c r="H147" s="210">
        <v>15</v>
      </c>
      <c r="I147" s="210">
        <v>0</v>
      </c>
      <c r="J147" s="380">
        <v>50</v>
      </c>
      <c r="K147" s="210">
        <v>2</v>
      </c>
    </row>
    <row r="148" spans="1:11" ht="15.75">
      <c r="A148" s="201">
        <v>6.11</v>
      </c>
      <c r="B148" s="202" t="s">
        <v>72</v>
      </c>
      <c r="C148" s="196" t="str">
        <f>"0912-7LEK-C"&amp;A148&amp;"-"&amp;UPPER(LEFT(B148,1))&amp;""</f>
        <v>0912-7LEK-C6.11-N</v>
      </c>
      <c r="D148" s="209">
        <v>10</v>
      </c>
      <c r="E148" s="210">
        <v>45</v>
      </c>
      <c r="F148" s="210">
        <v>15</v>
      </c>
      <c r="G148" s="210">
        <v>15</v>
      </c>
      <c r="H148" s="210">
        <v>15</v>
      </c>
      <c r="I148" s="210">
        <v>0</v>
      </c>
      <c r="J148" s="380">
        <v>50</v>
      </c>
      <c r="K148" s="210">
        <v>2</v>
      </c>
    </row>
    <row r="149" spans="1:11" ht="15.75">
      <c r="A149" s="201">
        <v>6.12</v>
      </c>
      <c r="B149" s="202" t="s">
        <v>73</v>
      </c>
      <c r="C149" s="196" t="str">
        <f>"0912-7LEK-C"&amp;A149&amp;"-"&amp;UPPER(LEFT(B149,1))&amp;""</f>
        <v>0912-7LEK-C6.12-T</v>
      </c>
      <c r="D149" s="209" t="s">
        <v>129</v>
      </c>
      <c r="E149" s="210">
        <v>15</v>
      </c>
      <c r="F149" s="210">
        <v>15</v>
      </c>
      <c r="G149" s="210">
        <v>0</v>
      </c>
      <c r="H149" s="210">
        <v>0</v>
      </c>
      <c r="I149" s="210">
        <v>0</v>
      </c>
      <c r="J149" s="380">
        <v>25</v>
      </c>
      <c r="K149" s="210">
        <v>1</v>
      </c>
    </row>
    <row r="150" spans="1:11" ht="15.75">
      <c r="A150" s="201">
        <v>6.13</v>
      </c>
      <c r="B150" s="202" t="s">
        <v>74</v>
      </c>
      <c r="C150" s="196" t="str">
        <f>"0912-7LEK-C"&amp;A150&amp;"-"&amp;UPPER(LEFT(B150,1))&amp;"O"</f>
        <v>0912-7LEK-C6.13-DO</v>
      </c>
      <c r="D150" s="209">
        <v>8</v>
      </c>
      <c r="E150" s="210">
        <v>55</v>
      </c>
      <c r="F150" s="210">
        <v>15</v>
      </c>
      <c r="G150" s="210">
        <v>15</v>
      </c>
      <c r="H150" s="210">
        <v>25</v>
      </c>
      <c r="I150" s="210">
        <v>0</v>
      </c>
      <c r="J150" s="380">
        <v>75</v>
      </c>
      <c r="K150" s="210">
        <v>3</v>
      </c>
    </row>
    <row r="151" spans="1:11">
      <c r="A151" s="700" t="s">
        <v>9</v>
      </c>
      <c r="B151" s="701"/>
      <c r="C151" s="701"/>
      <c r="D151" s="702"/>
      <c r="E151" s="221">
        <f t="shared" ref="E151:K151" si="7">SUM(E138:E150)</f>
        <v>900</v>
      </c>
      <c r="F151" s="221">
        <f t="shared" si="7"/>
        <v>300</v>
      </c>
      <c r="G151" s="221">
        <f t="shared" si="7"/>
        <v>310</v>
      </c>
      <c r="H151" s="221">
        <f t="shared" si="7"/>
        <v>290</v>
      </c>
      <c r="I151" s="221">
        <f t="shared" si="7"/>
        <v>0</v>
      </c>
      <c r="J151" s="376">
        <f t="shared" si="7"/>
        <v>1250</v>
      </c>
      <c r="K151" s="221">
        <f t="shared" si="7"/>
        <v>50</v>
      </c>
    </row>
    <row r="152" spans="1:11" ht="15.75">
      <c r="A152" s="353"/>
      <c r="B152" s="350" t="s">
        <v>62</v>
      </c>
      <c r="C152" s="196"/>
      <c r="D152" s="354"/>
      <c r="E152" s="355"/>
      <c r="F152" s="355"/>
      <c r="G152" s="355"/>
      <c r="H152" s="355"/>
      <c r="I152" s="355"/>
      <c r="J152" s="383"/>
      <c r="K152" s="355"/>
    </row>
    <row r="153" spans="1:11" ht="15.75">
      <c r="A153" s="353"/>
      <c r="B153" s="357" t="s">
        <v>293</v>
      </c>
      <c r="C153" s="196"/>
      <c r="D153" s="209" t="s">
        <v>129</v>
      </c>
      <c r="E153" s="316">
        <v>35</v>
      </c>
      <c r="F153" s="316">
        <v>15</v>
      </c>
      <c r="G153" s="316">
        <v>20</v>
      </c>
      <c r="H153" s="316"/>
      <c r="I153" s="339"/>
      <c r="J153" s="377">
        <v>50</v>
      </c>
      <c r="K153" s="355"/>
    </row>
    <row r="154" spans="1:11" ht="15.75">
      <c r="A154" s="353"/>
      <c r="B154" s="357" t="s">
        <v>307</v>
      </c>
      <c r="C154" s="196"/>
      <c r="D154" s="209" t="s">
        <v>144</v>
      </c>
      <c r="E154" s="210">
        <v>15</v>
      </c>
      <c r="F154" s="210">
        <v>15</v>
      </c>
      <c r="G154" s="210"/>
      <c r="H154" s="210"/>
      <c r="I154" s="210"/>
      <c r="J154" s="380">
        <v>25</v>
      </c>
      <c r="K154" s="210"/>
    </row>
    <row r="155" spans="1:11" ht="15.75">
      <c r="A155" s="343"/>
      <c r="B155" s="351" t="s">
        <v>63</v>
      </c>
      <c r="C155" s="17"/>
      <c r="D155" s="344"/>
      <c r="E155" s="316"/>
      <c r="F155" s="316"/>
      <c r="G155" s="316"/>
      <c r="H155" s="316"/>
      <c r="I155" s="316"/>
      <c r="J155" s="376"/>
      <c r="K155" s="316"/>
    </row>
    <row r="156" spans="1:11" ht="15.75">
      <c r="A156" s="343"/>
      <c r="B156" s="388" t="s">
        <v>157</v>
      </c>
      <c r="C156" s="216"/>
      <c r="D156" s="216">
        <v>8</v>
      </c>
      <c r="E156" s="216">
        <v>15</v>
      </c>
      <c r="F156" s="316">
        <v>15</v>
      </c>
      <c r="G156" s="316"/>
      <c r="H156" s="316"/>
      <c r="I156" s="316"/>
      <c r="J156" s="376">
        <v>25</v>
      </c>
      <c r="K156" s="316"/>
    </row>
    <row r="157" spans="1:11" ht="15.75">
      <c r="A157" s="343"/>
      <c r="B157" s="388" t="s">
        <v>171</v>
      </c>
      <c r="C157" s="216"/>
      <c r="D157" s="209" t="s">
        <v>129</v>
      </c>
      <c r="E157" s="316">
        <v>35</v>
      </c>
      <c r="F157" s="316">
        <v>15</v>
      </c>
      <c r="G157" s="316">
        <v>20</v>
      </c>
      <c r="H157" s="316"/>
      <c r="I157" s="339"/>
      <c r="J157" s="377">
        <v>50</v>
      </c>
      <c r="K157" s="316"/>
    </row>
    <row r="158" spans="1:11" ht="15.75">
      <c r="A158" s="343"/>
      <c r="B158" s="400" t="s">
        <v>305</v>
      </c>
      <c r="C158" s="216"/>
      <c r="D158" s="359">
        <v>8</v>
      </c>
      <c r="E158" s="360">
        <v>15</v>
      </c>
      <c r="F158" s="316">
        <v>15</v>
      </c>
      <c r="G158" s="316"/>
      <c r="H158" s="316"/>
      <c r="I158" s="316"/>
      <c r="J158" s="376">
        <v>25</v>
      </c>
      <c r="K158" s="316"/>
    </row>
    <row r="159" spans="1:11" ht="15.75">
      <c r="A159" s="343"/>
      <c r="B159" s="400" t="s">
        <v>179</v>
      </c>
      <c r="C159" s="216"/>
      <c r="D159" s="209" t="s">
        <v>129</v>
      </c>
      <c r="E159" s="316">
        <v>35</v>
      </c>
      <c r="F159" s="316">
        <v>15</v>
      </c>
      <c r="G159" s="316">
        <v>20</v>
      </c>
      <c r="H159" s="316"/>
      <c r="I159" s="339"/>
      <c r="J159" s="377">
        <v>50</v>
      </c>
      <c r="K159" s="316"/>
    </row>
    <row r="160" spans="1:11" ht="15.75">
      <c r="A160" s="343"/>
      <c r="B160" s="351" t="s">
        <v>64</v>
      </c>
      <c r="C160" s="17"/>
      <c r="D160" s="344"/>
      <c r="E160" s="316"/>
      <c r="F160" s="316"/>
      <c r="G160" s="316"/>
      <c r="H160" s="316"/>
      <c r="I160" s="316"/>
      <c r="J160" s="376"/>
      <c r="K160" s="316"/>
    </row>
    <row r="161" spans="1:11" ht="15.75">
      <c r="A161" s="343"/>
      <c r="B161" s="351" t="s">
        <v>65</v>
      </c>
      <c r="C161" s="17"/>
      <c r="D161" s="344"/>
      <c r="E161" s="316"/>
      <c r="F161" s="316"/>
      <c r="G161" s="316"/>
      <c r="H161" s="316"/>
      <c r="I161" s="316"/>
      <c r="J161" s="376"/>
      <c r="K161" s="316"/>
    </row>
    <row r="162" spans="1:11" ht="15.75">
      <c r="A162" s="343"/>
      <c r="B162" s="351" t="s">
        <v>66</v>
      </c>
      <c r="C162" s="17"/>
      <c r="D162" s="344"/>
      <c r="E162" s="316"/>
      <c r="F162" s="316"/>
      <c r="G162" s="316"/>
      <c r="H162" s="316"/>
      <c r="I162" s="316"/>
      <c r="J162" s="376"/>
      <c r="K162" s="316"/>
    </row>
    <row r="163" spans="1:11" ht="15.75">
      <c r="A163" s="343"/>
      <c r="B163" s="352" t="s">
        <v>67</v>
      </c>
      <c r="C163" s="17"/>
      <c r="D163" s="344"/>
      <c r="E163" s="316"/>
      <c r="F163" s="316"/>
      <c r="G163" s="316"/>
      <c r="H163" s="316"/>
      <c r="I163" s="316"/>
      <c r="J163" s="376"/>
      <c r="K163" s="316"/>
    </row>
    <row r="164" spans="1:11" ht="15.75">
      <c r="A164" s="343"/>
      <c r="B164" s="352" t="s">
        <v>68</v>
      </c>
      <c r="C164" s="17"/>
      <c r="D164" s="344"/>
      <c r="E164" s="316"/>
      <c r="F164" s="316"/>
      <c r="G164" s="316"/>
      <c r="H164" s="316"/>
      <c r="I164" s="316"/>
      <c r="J164" s="376"/>
      <c r="K164" s="316"/>
    </row>
    <row r="165" spans="1:11" ht="15.75">
      <c r="A165" s="343"/>
      <c r="B165" s="352" t="s">
        <v>69</v>
      </c>
      <c r="C165" s="17"/>
      <c r="D165" s="344"/>
      <c r="E165" s="316"/>
      <c r="F165" s="316"/>
      <c r="G165" s="316"/>
      <c r="H165" s="316"/>
      <c r="I165" s="316"/>
      <c r="J165" s="376"/>
      <c r="K165" s="316"/>
    </row>
    <row r="166" spans="1:11" ht="15.75">
      <c r="A166" s="343"/>
      <c r="B166" s="352" t="s">
        <v>70</v>
      </c>
      <c r="C166" s="17"/>
      <c r="D166" s="344"/>
      <c r="E166" s="316"/>
      <c r="F166" s="316"/>
      <c r="G166" s="316"/>
      <c r="H166" s="316"/>
      <c r="I166" s="316"/>
      <c r="J166" s="376"/>
      <c r="K166" s="316"/>
    </row>
    <row r="167" spans="1:11" ht="15.75">
      <c r="A167" s="343"/>
      <c r="B167" s="401" t="s">
        <v>309</v>
      </c>
      <c r="C167" s="17"/>
      <c r="D167" s="209" t="s">
        <v>144</v>
      </c>
      <c r="E167" s="316">
        <v>15</v>
      </c>
      <c r="F167" s="316">
        <v>15</v>
      </c>
      <c r="G167" s="316"/>
      <c r="H167" s="316"/>
      <c r="I167" s="339"/>
      <c r="J167" s="377">
        <v>25</v>
      </c>
      <c r="K167" s="316"/>
    </row>
    <row r="168" spans="1:11" ht="15.75">
      <c r="A168" s="343"/>
      <c r="B168" s="352" t="s">
        <v>71</v>
      </c>
      <c r="C168" s="17"/>
      <c r="D168" s="344"/>
      <c r="E168" s="316"/>
      <c r="F168" s="316"/>
      <c r="G168" s="316"/>
      <c r="H168" s="316"/>
      <c r="I168" s="316"/>
      <c r="J168" s="376"/>
      <c r="K168" s="316"/>
    </row>
    <row r="169" spans="1:11" ht="15.75">
      <c r="A169" s="343"/>
      <c r="B169" s="352" t="s">
        <v>72</v>
      </c>
      <c r="C169" s="17"/>
      <c r="D169" s="344"/>
      <c r="E169" s="316"/>
      <c r="F169" s="316"/>
      <c r="G169" s="316"/>
      <c r="H169" s="316"/>
      <c r="I169" s="316"/>
      <c r="J169" s="376"/>
      <c r="K169" s="316"/>
    </row>
    <row r="170" spans="1:11" ht="15.75">
      <c r="A170" s="343"/>
      <c r="B170" s="352" t="s">
        <v>73</v>
      </c>
      <c r="C170" s="17"/>
      <c r="D170" s="344"/>
      <c r="E170" s="316"/>
      <c r="F170" s="316"/>
      <c r="G170" s="316"/>
      <c r="H170" s="316"/>
      <c r="I170" s="316"/>
      <c r="J170" s="376"/>
      <c r="K170" s="316"/>
    </row>
    <row r="171" spans="1:11" ht="15.75">
      <c r="A171" s="343"/>
      <c r="B171" s="352" t="s">
        <v>74</v>
      </c>
      <c r="C171" s="17"/>
      <c r="D171" s="344"/>
      <c r="E171" s="316"/>
      <c r="F171" s="316"/>
      <c r="G171" s="316"/>
      <c r="H171" s="316"/>
      <c r="I171" s="316"/>
      <c r="J171" s="376"/>
      <c r="K171" s="316"/>
    </row>
    <row r="172" spans="1:11" ht="15.75">
      <c r="A172" s="412"/>
      <c r="B172" s="413" t="s">
        <v>295</v>
      </c>
      <c r="C172" s="404"/>
      <c r="D172" s="220" t="s">
        <v>129</v>
      </c>
      <c r="E172" s="316">
        <v>35</v>
      </c>
      <c r="F172" s="316">
        <v>15</v>
      </c>
      <c r="G172" s="316">
        <v>20</v>
      </c>
      <c r="H172" s="316"/>
      <c r="I172" s="339"/>
      <c r="J172" s="377">
        <v>50</v>
      </c>
      <c r="K172" s="316"/>
    </row>
    <row r="173" spans="1:11">
      <c r="A173" s="216"/>
      <c r="B173" s="414" t="s">
        <v>173</v>
      </c>
      <c r="C173" s="415"/>
      <c r="D173" s="415">
        <v>10</v>
      </c>
      <c r="E173" s="216">
        <v>15</v>
      </c>
      <c r="F173" s="216">
        <v>15</v>
      </c>
      <c r="G173" s="216"/>
      <c r="H173" s="216"/>
      <c r="I173" s="216"/>
      <c r="J173" s="216">
        <v>25</v>
      </c>
      <c r="K173" s="216"/>
    </row>
    <row r="174" spans="1:11">
      <c r="A174" s="754" t="s">
        <v>276</v>
      </c>
      <c r="B174" s="755"/>
      <c r="C174" s="755"/>
      <c r="D174" s="755"/>
      <c r="E174" s="755"/>
      <c r="F174" s="755"/>
      <c r="G174" s="755"/>
      <c r="H174" s="755"/>
      <c r="I174" s="755"/>
      <c r="J174" s="755"/>
      <c r="K174" s="756"/>
    </row>
    <row r="175" spans="1:11" ht="15.75">
      <c r="A175" s="197"/>
      <c r="B175" s="199"/>
      <c r="C175" s="17"/>
      <c r="D175" s="209"/>
      <c r="E175" s="316"/>
      <c r="F175" s="316"/>
      <c r="G175" s="316"/>
      <c r="H175" s="316"/>
      <c r="I175" s="309"/>
      <c r="J175" s="377"/>
      <c r="K175" s="317"/>
    </row>
    <row r="176" spans="1:11" ht="15.75">
      <c r="A176" s="197"/>
      <c r="B176" s="199"/>
      <c r="C176" s="17"/>
      <c r="D176" s="209"/>
      <c r="E176" s="316"/>
      <c r="F176" s="316"/>
      <c r="G176" s="316"/>
      <c r="H176" s="316"/>
      <c r="I176" s="309"/>
      <c r="J176" s="377"/>
      <c r="K176" s="317"/>
    </row>
    <row r="177" spans="1:11" s="226" customFormat="1">
      <c r="A177" s="693" t="s">
        <v>27</v>
      </c>
      <c r="B177" s="694"/>
      <c r="C177" s="694"/>
      <c r="D177" s="694"/>
      <c r="E177" s="694"/>
      <c r="F177" s="694"/>
      <c r="G177" s="694"/>
      <c r="H177" s="694"/>
      <c r="I177" s="694"/>
      <c r="J177" s="694"/>
      <c r="K177" s="695"/>
    </row>
    <row r="178" spans="1:11" ht="15.75">
      <c r="A178" s="312">
        <v>7.1</v>
      </c>
      <c r="B178" s="225" t="s">
        <v>75</v>
      </c>
      <c r="C178" s="196" t="str">
        <f>"0912-7LEK-C"&amp;A178&amp;"-"&amp;UPPER(LEFT(B178,1))</f>
        <v>0912-7LEK-C7.1-H</v>
      </c>
      <c r="D178" s="223" t="s">
        <v>243</v>
      </c>
      <c r="E178" s="224">
        <v>15</v>
      </c>
      <c r="F178" s="224">
        <v>15</v>
      </c>
      <c r="G178" s="224">
        <v>0</v>
      </c>
      <c r="H178" s="224">
        <v>0</v>
      </c>
      <c r="I178" s="224">
        <v>0</v>
      </c>
      <c r="J178" s="379">
        <v>25</v>
      </c>
      <c r="K178" s="224">
        <v>1</v>
      </c>
    </row>
    <row r="179" spans="1:11" ht="15.75">
      <c r="A179" s="6">
        <v>7.2</v>
      </c>
      <c r="B179" s="202" t="s">
        <v>76</v>
      </c>
      <c r="C179" s="17" t="str">
        <f>"0912-7LEK-C"&amp;A179&amp;"-"&amp;UPPER(LEFT(B179,1))</f>
        <v>0912-7LEK-C7.2-E</v>
      </c>
      <c r="D179" s="209" t="s">
        <v>243</v>
      </c>
      <c r="E179" s="210">
        <v>15</v>
      </c>
      <c r="F179" s="210">
        <v>15</v>
      </c>
      <c r="G179" s="210">
        <v>0</v>
      </c>
      <c r="H179" s="210">
        <v>0</v>
      </c>
      <c r="I179" s="210">
        <v>0</v>
      </c>
      <c r="J179" s="380">
        <v>25</v>
      </c>
      <c r="K179" s="210">
        <v>1</v>
      </c>
    </row>
    <row r="180" spans="1:11" ht="15.75">
      <c r="A180" s="6">
        <v>7.3</v>
      </c>
      <c r="B180" s="202" t="s">
        <v>77</v>
      </c>
      <c r="C180" s="17" t="str">
        <f>"0912-7LEK-C"&amp;A180&amp;"-"&amp;UPPER(LEFT(B180,1))</f>
        <v>0912-7LEK-C7.3-Z</v>
      </c>
      <c r="D180" s="209" t="s">
        <v>143</v>
      </c>
      <c r="E180" s="210">
        <v>15</v>
      </c>
      <c r="F180" s="210">
        <v>15</v>
      </c>
      <c r="G180" s="210">
        <v>0</v>
      </c>
      <c r="H180" s="210">
        <v>0</v>
      </c>
      <c r="I180" s="210">
        <v>0</v>
      </c>
      <c r="J180" s="380">
        <v>25</v>
      </c>
      <c r="K180" s="210">
        <v>1</v>
      </c>
    </row>
    <row r="181" spans="1:11" ht="15.75">
      <c r="A181" s="6">
        <v>7.4</v>
      </c>
      <c r="B181" s="202" t="s">
        <v>78</v>
      </c>
      <c r="C181" s="17" t="str">
        <f>"0912-7LEK-C"&amp;A181&amp;"-"&amp;UPPER(LEFT(B181,1))</f>
        <v>0912-7LEK-C7.4-P</v>
      </c>
      <c r="D181" s="209" t="s">
        <v>129</v>
      </c>
      <c r="E181" s="210">
        <v>15</v>
      </c>
      <c r="F181" s="210">
        <v>15</v>
      </c>
      <c r="G181" s="210">
        <v>0</v>
      </c>
      <c r="H181" s="210">
        <v>0</v>
      </c>
      <c r="I181" s="210">
        <v>0</v>
      </c>
      <c r="J181" s="380">
        <v>25</v>
      </c>
      <c r="K181" s="210">
        <v>1</v>
      </c>
    </row>
    <row r="182" spans="1:11" ht="15.75">
      <c r="A182" s="6">
        <v>7.5</v>
      </c>
      <c r="B182" s="202" t="s">
        <v>79</v>
      </c>
      <c r="C182" s="17" t="str">
        <f>"0912-7LEK-C"&amp;A182&amp;"-"&amp;UPPER(LEFT(B182,1))</f>
        <v>0912-7LEK-C7.5-M</v>
      </c>
      <c r="D182" s="209">
        <v>10</v>
      </c>
      <c r="E182" s="210">
        <v>45</v>
      </c>
      <c r="F182" s="210">
        <v>10</v>
      </c>
      <c r="G182" s="210">
        <v>15</v>
      </c>
      <c r="H182" s="210">
        <v>20</v>
      </c>
      <c r="I182" s="210">
        <v>0</v>
      </c>
      <c r="J182" s="380">
        <v>55</v>
      </c>
      <c r="K182" s="210">
        <v>2</v>
      </c>
    </row>
    <row r="183" spans="1:11">
      <c r="A183" s="700" t="s">
        <v>9</v>
      </c>
      <c r="B183" s="701"/>
      <c r="C183" s="701"/>
      <c r="D183" s="702"/>
      <c r="E183" s="221">
        <f>SUM(E178:E182)</f>
        <v>105</v>
      </c>
      <c r="F183" s="221">
        <f t="shared" ref="F183:K183" si="8">SUM(F178:F182)</f>
        <v>70</v>
      </c>
      <c r="G183" s="221">
        <f t="shared" si="8"/>
        <v>15</v>
      </c>
      <c r="H183" s="221">
        <f t="shared" si="8"/>
        <v>20</v>
      </c>
      <c r="I183" s="221">
        <f t="shared" si="8"/>
        <v>0</v>
      </c>
      <c r="J183" s="376">
        <f t="shared" si="8"/>
        <v>155</v>
      </c>
      <c r="K183" s="221">
        <f t="shared" si="8"/>
        <v>6</v>
      </c>
    </row>
    <row r="184" spans="1:11">
      <c r="A184" s="216"/>
      <c r="B184" s="362"/>
      <c r="C184" s="362"/>
      <c r="D184" s="362"/>
      <c r="E184" s="363"/>
      <c r="F184" s="363"/>
      <c r="G184" s="363"/>
      <c r="H184" s="363"/>
      <c r="I184" s="363"/>
      <c r="J184" s="380"/>
      <c r="K184" s="363"/>
    </row>
    <row r="185" spans="1:11">
      <c r="A185" s="362"/>
      <c r="B185" s="364" t="s">
        <v>272</v>
      </c>
      <c r="C185" s="362"/>
      <c r="D185" s="362"/>
      <c r="E185" s="363"/>
      <c r="F185" s="363"/>
      <c r="G185" s="363"/>
      <c r="H185" s="363"/>
      <c r="I185" s="363"/>
      <c r="J185" s="380"/>
      <c r="K185" s="363"/>
    </row>
    <row r="186" spans="1:11">
      <c r="A186" s="365"/>
      <c r="B186" s="366"/>
      <c r="C186" s="367"/>
      <c r="D186" s="367"/>
      <c r="E186" s="368"/>
      <c r="F186" s="368"/>
      <c r="G186" s="368"/>
      <c r="H186" s="368"/>
      <c r="I186" s="368"/>
      <c r="J186" s="384"/>
      <c r="K186" s="369"/>
    </row>
    <row r="187" spans="1:11">
      <c r="A187" s="365"/>
      <c r="B187" s="366"/>
      <c r="C187" s="367"/>
      <c r="D187" s="367"/>
      <c r="E187" s="368"/>
      <c r="F187" s="368"/>
      <c r="G187" s="368"/>
      <c r="H187" s="368"/>
      <c r="I187" s="368"/>
      <c r="J187" s="384"/>
      <c r="K187" s="369"/>
    </row>
    <row r="188" spans="1:11">
      <c r="A188" s="693" t="s">
        <v>28</v>
      </c>
      <c r="B188" s="694"/>
      <c r="C188" s="694"/>
      <c r="D188" s="694"/>
      <c r="E188" s="694"/>
      <c r="F188" s="694"/>
      <c r="G188" s="694"/>
      <c r="H188" s="694"/>
      <c r="I188" s="694"/>
      <c r="J188" s="694"/>
      <c r="K188" s="695"/>
    </row>
    <row r="189" spans="1:11" ht="15.75">
      <c r="A189" s="312">
        <v>8.1</v>
      </c>
      <c r="B189" s="225" t="s">
        <v>80</v>
      </c>
      <c r="C189" s="196" t="str">
        <f>"0912-7LEK-C"&amp;A189&amp;"-"&amp;UPPER(LEFT(B189,1))</f>
        <v>0912-7LEK-C8.1-C</v>
      </c>
      <c r="D189" s="223" t="s">
        <v>133</v>
      </c>
      <c r="E189" s="224">
        <v>240</v>
      </c>
      <c r="F189" s="224">
        <v>0</v>
      </c>
      <c r="G189" s="224">
        <v>0</v>
      </c>
      <c r="H189" s="224">
        <v>240</v>
      </c>
      <c r="I189" s="224">
        <v>0</v>
      </c>
      <c r="J189" s="379">
        <v>400</v>
      </c>
      <c r="K189" s="224">
        <v>16</v>
      </c>
    </row>
    <row r="190" spans="1:11" ht="15.75">
      <c r="A190" s="6">
        <v>8.1999999999999993</v>
      </c>
      <c r="B190" s="202" t="s">
        <v>51</v>
      </c>
      <c r="C190" s="17" t="str">
        <f t="shared" ref="C190:C196" si="9">"0912-7LEK-C"&amp;A190&amp;"-"&amp;UPPER(LEFT(B190,1))</f>
        <v>0912-7LEK-C8.2-P</v>
      </c>
      <c r="D190" s="209" t="s">
        <v>133</v>
      </c>
      <c r="E190" s="210">
        <v>120</v>
      </c>
      <c r="F190" s="210">
        <v>0</v>
      </c>
      <c r="G190" s="210">
        <v>0</v>
      </c>
      <c r="H190" s="210">
        <v>120</v>
      </c>
      <c r="I190" s="210">
        <v>0</v>
      </c>
      <c r="J190" s="380">
        <v>200</v>
      </c>
      <c r="K190" s="210">
        <v>8</v>
      </c>
    </row>
    <row r="191" spans="1:11" ht="15.75">
      <c r="A191" s="6">
        <v>8.3000000000000007</v>
      </c>
      <c r="B191" s="202" t="s">
        <v>81</v>
      </c>
      <c r="C191" s="17" t="str">
        <f t="shared" si="9"/>
        <v>0912-7LEK-C8.3-C</v>
      </c>
      <c r="D191" s="209" t="s">
        <v>250</v>
      </c>
      <c r="E191" s="210">
        <v>120</v>
      </c>
      <c r="F191" s="210">
        <v>0</v>
      </c>
      <c r="G191" s="210">
        <v>0</v>
      </c>
      <c r="H191" s="210">
        <v>120</v>
      </c>
      <c r="I191" s="210">
        <v>0</v>
      </c>
      <c r="J191" s="380">
        <v>200</v>
      </c>
      <c r="K191" s="210">
        <v>8</v>
      </c>
    </row>
    <row r="192" spans="1:11" ht="15.75">
      <c r="A192" s="6">
        <v>8.4</v>
      </c>
      <c r="B192" s="202" t="s">
        <v>70</v>
      </c>
      <c r="C192" s="17" t="str">
        <f t="shared" si="9"/>
        <v>0912-7LEK-C8.4-G</v>
      </c>
      <c r="D192" s="209" t="s">
        <v>134</v>
      </c>
      <c r="E192" s="210">
        <v>60</v>
      </c>
      <c r="F192" s="210">
        <v>0</v>
      </c>
      <c r="G192" s="210">
        <v>0</v>
      </c>
      <c r="H192" s="210">
        <v>60</v>
      </c>
      <c r="I192" s="210">
        <v>0</v>
      </c>
      <c r="J192" s="380">
        <v>100</v>
      </c>
      <c r="K192" s="210">
        <v>4</v>
      </c>
    </row>
    <row r="193" spans="1:11" ht="15.75">
      <c r="A193" s="6">
        <v>8.5</v>
      </c>
      <c r="B193" s="202" t="s">
        <v>54</v>
      </c>
      <c r="C193" s="17" t="str">
        <f t="shared" si="9"/>
        <v>0912-7LEK-C8.5-P</v>
      </c>
      <c r="D193" s="209" t="s">
        <v>134</v>
      </c>
      <c r="E193" s="210">
        <v>60</v>
      </c>
      <c r="F193" s="210">
        <v>0</v>
      </c>
      <c r="G193" s="210">
        <v>0</v>
      </c>
      <c r="H193" s="210">
        <v>60</v>
      </c>
      <c r="I193" s="210">
        <v>0</v>
      </c>
      <c r="J193" s="380">
        <v>100</v>
      </c>
      <c r="K193" s="210">
        <v>4</v>
      </c>
    </row>
    <row r="194" spans="1:11" ht="15.75">
      <c r="A194" s="6">
        <v>8.6</v>
      </c>
      <c r="B194" s="202" t="s">
        <v>82</v>
      </c>
      <c r="C194" s="17" t="str">
        <f>"0912-7LEK-C"&amp;A194&amp;"-"&amp;UPPER(LEFT(B194,1))&amp;"R"</f>
        <v>0912-7LEK-C8.6-MR</v>
      </c>
      <c r="D194" s="209" t="s">
        <v>134</v>
      </c>
      <c r="E194" s="210">
        <v>60</v>
      </c>
      <c r="F194" s="210">
        <v>0</v>
      </c>
      <c r="G194" s="210">
        <v>0</v>
      </c>
      <c r="H194" s="210">
        <v>60</v>
      </c>
      <c r="I194" s="210">
        <v>0</v>
      </c>
      <c r="J194" s="380">
        <v>100</v>
      </c>
      <c r="K194" s="210">
        <v>4</v>
      </c>
    </row>
    <row r="195" spans="1:11" ht="15.75">
      <c r="A195" s="6">
        <v>8.6999999999999993</v>
      </c>
      <c r="B195" s="202" t="s">
        <v>56</v>
      </c>
      <c r="C195" s="17" t="str">
        <f t="shared" si="9"/>
        <v>0912-7LEK-C8.7-M</v>
      </c>
      <c r="D195" s="209" t="s">
        <v>134</v>
      </c>
      <c r="E195" s="210">
        <v>60</v>
      </c>
      <c r="F195" s="210">
        <v>0</v>
      </c>
      <c r="G195" s="210">
        <v>0</v>
      </c>
      <c r="H195" s="210">
        <v>60</v>
      </c>
      <c r="I195" s="210">
        <v>0</v>
      </c>
      <c r="J195" s="380">
        <v>100</v>
      </c>
      <c r="K195" s="210">
        <v>4</v>
      </c>
    </row>
    <row r="196" spans="1:11" ht="15.75">
      <c r="A196" s="6">
        <v>8.8000000000000007</v>
      </c>
      <c r="B196" s="202" t="s">
        <v>33</v>
      </c>
      <c r="C196" s="17" t="str">
        <f t="shared" si="9"/>
        <v>0912-7LEK-C8.8-S</v>
      </c>
      <c r="D196" s="209" t="s">
        <v>134</v>
      </c>
      <c r="E196" s="210">
        <v>180</v>
      </c>
      <c r="F196" s="210">
        <v>0</v>
      </c>
      <c r="G196" s="210">
        <v>0</v>
      </c>
      <c r="H196" s="210">
        <v>180</v>
      </c>
      <c r="I196" s="210">
        <v>0</v>
      </c>
      <c r="J196" s="380">
        <v>300</v>
      </c>
      <c r="K196" s="210">
        <v>12</v>
      </c>
    </row>
    <row r="197" spans="1:11">
      <c r="A197" s="700" t="s">
        <v>9</v>
      </c>
      <c r="B197" s="701"/>
      <c r="C197" s="701"/>
      <c r="D197" s="702"/>
      <c r="E197" s="221">
        <f>SUM(E189:E196)</f>
        <v>900</v>
      </c>
      <c r="F197" s="221">
        <f t="shared" ref="F197:K197" si="10">SUM(F189:F196)</f>
        <v>0</v>
      </c>
      <c r="G197" s="221">
        <f t="shared" si="10"/>
        <v>0</v>
      </c>
      <c r="H197" s="221">
        <f t="shared" si="10"/>
        <v>900</v>
      </c>
      <c r="I197" s="221">
        <f t="shared" si="10"/>
        <v>0</v>
      </c>
      <c r="J197" s="376">
        <f t="shared" si="10"/>
        <v>1500</v>
      </c>
      <c r="K197" s="221">
        <f t="shared" si="10"/>
        <v>60</v>
      </c>
    </row>
    <row r="198" spans="1:11">
      <c r="A198" s="693" t="s">
        <v>29</v>
      </c>
      <c r="B198" s="694"/>
      <c r="C198" s="694"/>
      <c r="D198" s="694"/>
      <c r="E198" s="694"/>
      <c r="F198" s="694"/>
      <c r="G198" s="694"/>
      <c r="H198" s="694"/>
      <c r="I198" s="694"/>
      <c r="J198" s="694"/>
      <c r="K198" s="695"/>
    </row>
    <row r="199" spans="1:11" ht="15.75">
      <c r="A199" s="312">
        <v>9.1</v>
      </c>
      <c r="B199" s="225" t="s">
        <v>83</v>
      </c>
      <c r="C199" s="196" t="str">
        <f t="shared" ref="C199:C206" si="11">"0912-7LEK-C"&amp;A199&amp;"-"&amp;UPPER(LEFT(B199,1))</f>
        <v>0912-7LEK-C9.1-O</v>
      </c>
      <c r="D199" s="223" t="s">
        <v>242</v>
      </c>
      <c r="E199" s="224">
        <v>120</v>
      </c>
      <c r="F199" s="224">
        <v>0</v>
      </c>
      <c r="G199" s="224">
        <v>0</v>
      </c>
      <c r="H199" s="230">
        <v>120</v>
      </c>
      <c r="I199" s="224">
        <v>0</v>
      </c>
      <c r="J199" s="379">
        <v>120</v>
      </c>
      <c r="K199" s="224">
        <v>4</v>
      </c>
    </row>
    <row r="200" spans="1:11" ht="15.75">
      <c r="A200" s="6">
        <v>9.1999999999999993</v>
      </c>
      <c r="B200" s="202" t="s">
        <v>84</v>
      </c>
      <c r="C200" s="17" t="str">
        <f t="shared" si="11"/>
        <v>0912-7LEK-C9.2-L</v>
      </c>
      <c r="D200" s="209" t="s">
        <v>143</v>
      </c>
      <c r="E200" s="210">
        <v>90</v>
      </c>
      <c r="F200" s="210">
        <v>0</v>
      </c>
      <c r="G200" s="210">
        <v>0</v>
      </c>
      <c r="H200" s="216">
        <v>90</v>
      </c>
      <c r="I200" s="210">
        <v>0</v>
      </c>
      <c r="J200" s="380">
        <v>90</v>
      </c>
      <c r="K200" s="210">
        <v>3</v>
      </c>
    </row>
    <row r="201" spans="1:11" ht="15.75">
      <c r="A201" s="6">
        <v>9.3000000000000007</v>
      </c>
      <c r="B201" s="202" t="s">
        <v>85</v>
      </c>
      <c r="C201" s="17" t="str">
        <f t="shared" si="11"/>
        <v>0912-7LEK-C9.3-P</v>
      </c>
      <c r="D201" s="209" t="s">
        <v>143</v>
      </c>
      <c r="E201" s="210">
        <v>30</v>
      </c>
      <c r="F201" s="210">
        <v>0</v>
      </c>
      <c r="G201" s="210">
        <v>0</v>
      </c>
      <c r="H201" s="216">
        <v>30</v>
      </c>
      <c r="I201" s="210">
        <v>0</v>
      </c>
      <c r="J201" s="380">
        <v>30</v>
      </c>
      <c r="K201" s="210">
        <v>1</v>
      </c>
    </row>
    <row r="202" spans="1:11" ht="15.75">
      <c r="A202" s="6">
        <v>9.4</v>
      </c>
      <c r="B202" s="202" t="s">
        <v>80</v>
      </c>
      <c r="C202" s="17" t="str">
        <f t="shared" si="11"/>
        <v>0912-7LEK-C9.4-C</v>
      </c>
      <c r="D202" s="209" t="s">
        <v>146</v>
      </c>
      <c r="E202" s="210">
        <v>120</v>
      </c>
      <c r="F202" s="210">
        <v>0</v>
      </c>
      <c r="G202" s="210">
        <v>0</v>
      </c>
      <c r="H202" s="216">
        <v>120</v>
      </c>
      <c r="I202" s="210">
        <v>0</v>
      </c>
      <c r="J202" s="380">
        <v>120</v>
      </c>
      <c r="K202" s="210">
        <v>4</v>
      </c>
    </row>
    <row r="203" spans="1:11" ht="15.75">
      <c r="A203" s="6">
        <v>9.5</v>
      </c>
      <c r="B203" s="202" t="s">
        <v>86</v>
      </c>
      <c r="C203" s="17" t="str">
        <f t="shared" si="11"/>
        <v>0912-7LEK-C9.5-I</v>
      </c>
      <c r="D203" s="209" t="s">
        <v>144</v>
      </c>
      <c r="E203" s="210">
        <v>60</v>
      </c>
      <c r="F203" s="210">
        <v>0</v>
      </c>
      <c r="G203" s="210">
        <v>0</v>
      </c>
      <c r="H203" s="216">
        <v>60</v>
      </c>
      <c r="I203" s="210">
        <v>0</v>
      </c>
      <c r="J203" s="380">
        <v>60</v>
      </c>
      <c r="K203" s="210">
        <v>2</v>
      </c>
    </row>
    <row r="204" spans="1:11" ht="15.75">
      <c r="A204" s="6">
        <v>9.6</v>
      </c>
      <c r="B204" s="202" t="s">
        <v>51</v>
      </c>
      <c r="C204" s="17" t="str">
        <f t="shared" si="11"/>
        <v>0912-7LEK-C9.6-P</v>
      </c>
      <c r="D204" s="209" t="s">
        <v>144</v>
      </c>
      <c r="E204" s="210">
        <v>60</v>
      </c>
      <c r="F204" s="210">
        <v>0</v>
      </c>
      <c r="G204" s="210">
        <v>0</v>
      </c>
      <c r="H204" s="216">
        <v>60</v>
      </c>
      <c r="I204" s="210">
        <v>0</v>
      </c>
      <c r="J204" s="380">
        <v>60</v>
      </c>
      <c r="K204" s="210">
        <v>2</v>
      </c>
    </row>
    <row r="205" spans="1:11" ht="15.75">
      <c r="A205" s="6">
        <v>9.6999999999999993</v>
      </c>
      <c r="B205" s="202" t="s">
        <v>81</v>
      </c>
      <c r="C205" s="17" t="str">
        <f t="shared" si="11"/>
        <v>0912-7LEK-C9.7-C</v>
      </c>
      <c r="D205" s="209" t="s">
        <v>132</v>
      </c>
      <c r="E205" s="210">
        <v>60</v>
      </c>
      <c r="F205" s="210">
        <v>0</v>
      </c>
      <c r="G205" s="210">
        <v>0</v>
      </c>
      <c r="H205" s="216">
        <v>60</v>
      </c>
      <c r="I205" s="210">
        <v>0</v>
      </c>
      <c r="J205" s="380">
        <v>60</v>
      </c>
      <c r="K205" s="210">
        <v>2</v>
      </c>
    </row>
    <row r="206" spans="1:11" ht="15.75">
      <c r="A206" s="6">
        <v>9.8000000000000007</v>
      </c>
      <c r="B206" s="202" t="s">
        <v>70</v>
      </c>
      <c r="C206" s="17" t="str">
        <f t="shared" si="11"/>
        <v>0912-7LEK-C9.8-G</v>
      </c>
      <c r="D206" s="209" t="s">
        <v>132</v>
      </c>
      <c r="E206" s="210">
        <v>60</v>
      </c>
      <c r="F206" s="210">
        <v>0</v>
      </c>
      <c r="G206" s="210">
        <v>0</v>
      </c>
      <c r="H206" s="216">
        <v>60</v>
      </c>
      <c r="I206" s="210">
        <v>0</v>
      </c>
      <c r="J206" s="380">
        <v>60</v>
      </c>
      <c r="K206" s="210">
        <v>2</v>
      </c>
    </row>
    <row r="207" spans="1:11">
      <c r="A207" s="706" t="s">
        <v>9</v>
      </c>
      <c r="B207" s="706"/>
      <c r="C207" s="261"/>
      <c r="D207" s="211"/>
      <c r="E207" s="214">
        <f>SUM(E199:E206)</f>
        <v>600</v>
      </c>
      <c r="F207" s="214">
        <f t="shared" ref="F207:K207" si="12">SUM(F199:F206)</f>
        <v>0</v>
      </c>
      <c r="G207" s="214">
        <f t="shared" si="12"/>
        <v>0</v>
      </c>
      <c r="H207" s="214">
        <f t="shared" si="12"/>
        <v>600</v>
      </c>
      <c r="I207" s="214">
        <f t="shared" si="12"/>
        <v>0</v>
      </c>
      <c r="J207" s="380">
        <f t="shared" si="12"/>
        <v>600</v>
      </c>
      <c r="K207" s="214">
        <f t="shared" si="12"/>
        <v>20</v>
      </c>
    </row>
    <row r="208" spans="1:11">
      <c r="A208" s="693" t="s">
        <v>31</v>
      </c>
      <c r="B208" s="694"/>
      <c r="C208" s="694"/>
      <c r="D208" s="694"/>
      <c r="E208" s="694"/>
      <c r="F208" s="694"/>
      <c r="G208" s="694"/>
      <c r="H208" s="694"/>
      <c r="I208" s="694"/>
      <c r="J208" s="694"/>
      <c r="K208" s="695"/>
    </row>
    <row r="209" spans="1:17" ht="15.75">
      <c r="A209" s="6">
        <v>10.1</v>
      </c>
      <c r="B209" s="202" t="s">
        <v>17</v>
      </c>
      <c r="C209" s="17" t="str">
        <f>"0912-7LEK-A"&amp;A209&amp;"-"&amp;UPPER(LEFT(B209,1))&amp;"A"</f>
        <v>0912-7LEK-A10.1-JA</v>
      </c>
      <c r="D209" s="209" t="s">
        <v>239</v>
      </c>
      <c r="E209" s="210">
        <v>120</v>
      </c>
      <c r="F209" s="210">
        <v>0</v>
      </c>
      <c r="G209" s="210">
        <v>120</v>
      </c>
      <c r="H209" s="210">
        <v>0</v>
      </c>
      <c r="I209" s="210">
        <v>0</v>
      </c>
      <c r="J209" s="380">
        <v>180</v>
      </c>
      <c r="K209" s="210">
        <v>6</v>
      </c>
    </row>
    <row r="210" spans="1:17" ht="15.75">
      <c r="A210" s="6">
        <v>10.199999999999999</v>
      </c>
      <c r="B210" s="202" t="s">
        <v>206</v>
      </c>
      <c r="C210" s="17" t="str">
        <f>"0912-7LEK-A"&amp;A210&amp;"-"&amp;UPPER(LEFT(B210,1))&amp;"O"</f>
        <v>0912-7LEK-A10.2-JO</v>
      </c>
      <c r="D210" s="209" t="s">
        <v>240</v>
      </c>
      <c r="E210" s="210">
        <v>50</v>
      </c>
      <c r="F210" s="210">
        <v>0</v>
      </c>
      <c r="G210" s="210">
        <v>50</v>
      </c>
      <c r="H210" s="210">
        <v>0</v>
      </c>
      <c r="I210" s="210">
        <v>0</v>
      </c>
      <c r="J210" s="380">
        <v>60</v>
      </c>
      <c r="K210" s="210">
        <v>2</v>
      </c>
    </row>
    <row r="211" spans="1:17" ht="15.75">
      <c r="A211" s="6">
        <v>10.3</v>
      </c>
      <c r="B211" s="202" t="s">
        <v>19</v>
      </c>
      <c r="C211" s="17" t="str">
        <f>"0912-7LEK-A"&amp;A211&amp;"-"&amp;UPPER(LEFT(B211,1))&amp;"Ł"</f>
        <v>0912-7LEK-A10.3-JŁ</v>
      </c>
      <c r="D211" s="209" t="s">
        <v>241</v>
      </c>
      <c r="E211" s="210">
        <v>30</v>
      </c>
      <c r="F211" s="210">
        <v>0</v>
      </c>
      <c r="G211" s="210">
        <v>30</v>
      </c>
      <c r="H211" s="210">
        <v>0</v>
      </c>
      <c r="I211" s="210">
        <v>0</v>
      </c>
      <c r="J211" s="380">
        <v>30</v>
      </c>
      <c r="K211" s="210">
        <v>1</v>
      </c>
    </row>
    <row r="212" spans="1:17" ht="18.75" customHeight="1">
      <c r="A212" s="6">
        <v>10.4</v>
      </c>
      <c r="B212" s="202" t="s">
        <v>87</v>
      </c>
      <c r="C212" s="17" t="str">
        <f>"0912-7LEK-A"&amp;A212&amp;"-"&amp;UPPER(LEFT(B212,1))&amp;"B"</f>
        <v>0912-7LEK-A10.4-PB</v>
      </c>
      <c r="D212" s="209" t="s">
        <v>241</v>
      </c>
      <c r="E212" s="210">
        <v>2</v>
      </c>
      <c r="F212" s="210">
        <v>0</v>
      </c>
      <c r="G212" s="210">
        <v>2</v>
      </c>
      <c r="H212" s="210">
        <v>0</v>
      </c>
      <c r="I212" s="210">
        <v>0</v>
      </c>
      <c r="J212" s="380">
        <v>2</v>
      </c>
      <c r="K212" s="210">
        <v>0</v>
      </c>
    </row>
    <row r="213" spans="1:17" ht="15.75" customHeight="1">
      <c r="A213" s="6">
        <v>10.5</v>
      </c>
      <c r="B213" s="202" t="s">
        <v>30</v>
      </c>
      <c r="C213" s="17" t="str">
        <f>"0912-7LEK-A"&amp;A213&amp;"-"&amp;UPPER(LEFT(B213,1))&amp;"HP"</f>
        <v>0912-7LEK-A10.5-BHP</v>
      </c>
      <c r="D213" s="209" t="s">
        <v>242</v>
      </c>
      <c r="E213" s="210">
        <v>5</v>
      </c>
      <c r="F213" s="210">
        <v>5</v>
      </c>
      <c r="G213" s="210">
        <v>0</v>
      </c>
      <c r="H213" s="210">
        <v>0</v>
      </c>
      <c r="I213" s="210">
        <v>0</v>
      </c>
      <c r="J213" s="380">
        <v>5</v>
      </c>
      <c r="K213" s="210">
        <v>0</v>
      </c>
    </row>
    <row r="214" spans="1:17" ht="18.75" customHeight="1">
      <c r="A214" s="6">
        <v>10.6</v>
      </c>
      <c r="B214" s="202" t="s">
        <v>109</v>
      </c>
      <c r="C214" s="17" t="str">
        <f>"0912-7LEK-A"&amp;A214&amp;"-"&amp;UPPER(LEFT(B214,1))&amp;"F"</f>
        <v>0912-7LEK-A10.6-WF</v>
      </c>
      <c r="D214" s="209" t="s">
        <v>123</v>
      </c>
      <c r="E214" s="210">
        <v>180</v>
      </c>
      <c r="F214" s="210">
        <v>0</v>
      </c>
      <c r="G214" s="210">
        <v>180</v>
      </c>
      <c r="H214" s="210">
        <v>0</v>
      </c>
      <c r="I214" s="210">
        <v>0</v>
      </c>
      <c r="J214" s="380">
        <v>180</v>
      </c>
      <c r="K214" s="210">
        <v>0</v>
      </c>
    </row>
    <row r="215" spans="1:17">
      <c r="A215" s="713">
        <v>10.7</v>
      </c>
      <c r="B215" s="707" t="s">
        <v>122</v>
      </c>
      <c r="C215" s="708"/>
      <c r="D215" s="209" t="s">
        <v>243</v>
      </c>
      <c r="E215" s="210">
        <v>30</v>
      </c>
      <c r="F215" s="210">
        <v>0</v>
      </c>
      <c r="G215" s="210">
        <v>30</v>
      </c>
      <c r="H215" s="210">
        <v>0</v>
      </c>
      <c r="I215" s="210">
        <v>0</v>
      </c>
      <c r="J215" s="380">
        <v>60</v>
      </c>
      <c r="K215" s="210">
        <v>2</v>
      </c>
    </row>
    <row r="216" spans="1:17">
      <c r="A216" s="714"/>
      <c r="B216" s="709"/>
      <c r="C216" s="710"/>
      <c r="D216" s="209" t="s">
        <v>143</v>
      </c>
      <c r="E216" s="210">
        <v>30</v>
      </c>
      <c r="F216" s="210">
        <v>0</v>
      </c>
      <c r="G216" s="210">
        <v>30</v>
      </c>
      <c r="H216" s="210">
        <v>0</v>
      </c>
      <c r="I216" s="210">
        <v>0</v>
      </c>
      <c r="J216" s="380">
        <v>60</v>
      </c>
      <c r="K216" s="210">
        <v>2</v>
      </c>
    </row>
    <row r="217" spans="1:17">
      <c r="A217" s="706" t="s">
        <v>9</v>
      </c>
      <c r="B217" s="706"/>
      <c r="C217" s="261"/>
      <c r="D217" s="211"/>
      <c r="E217" s="214">
        <f t="shared" ref="E217:J217" si="13">SUM(E209:E214)</f>
        <v>387</v>
      </c>
      <c r="F217" s="214">
        <f t="shared" si="13"/>
        <v>5</v>
      </c>
      <c r="G217" s="214">
        <f t="shared" si="13"/>
        <v>382</v>
      </c>
      <c r="H217" s="214">
        <f t="shared" si="13"/>
        <v>0</v>
      </c>
      <c r="I217" s="214">
        <f t="shared" si="13"/>
        <v>0</v>
      </c>
      <c r="J217" s="380">
        <f t="shared" si="13"/>
        <v>457</v>
      </c>
      <c r="K217" s="214">
        <f>SUM(K209:K216)</f>
        <v>13</v>
      </c>
    </row>
    <row r="218" spans="1:17">
      <c r="A218" s="693" t="s">
        <v>238</v>
      </c>
      <c r="B218" s="694"/>
      <c r="C218" s="694"/>
      <c r="D218" s="694"/>
      <c r="E218" s="694"/>
      <c r="F218" s="694"/>
      <c r="G218" s="694"/>
      <c r="H218" s="694"/>
      <c r="I218" s="694"/>
      <c r="J218" s="694"/>
      <c r="K218" s="695"/>
    </row>
    <row r="219" spans="1:17" ht="15.75">
      <c r="A219" s="253">
        <v>1</v>
      </c>
      <c r="B219" s="208" t="s">
        <v>118</v>
      </c>
      <c r="C219" s="17"/>
      <c r="D219" s="209" t="s">
        <v>241</v>
      </c>
      <c r="E219" s="210">
        <v>15</v>
      </c>
      <c r="F219" s="210">
        <v>15</v>
      </c>
      <c r="G219" s="210">
        <v>0</v>
      </c>
      <c r="H219" s="210">
        <v>0</v>
      </c>
      <c r="I219" s="210">
        <v>0</v>
      </c>
      <c r="J219" s="380">
        <v>25</v>
      </c>
      <c r="K219" s="210">
        <v>1</v>
      </c>
      <c r="N219" s="753" t="s">
        <v>302</v>
      </c>
      <c r="O219" s="753"/>
      <c r="P219" s="753"/>
      <c r="Q219" s="753"/>
    </row>
    <row r="220" spans="1:17" ht="15.75">
      <c r="A220" s="253">
        <v>2</v>
      </c>
      <c r="B220" s="208" t="s">
        <v>118</v>
      </c>
      <c r="C220" s="17"/>
      <c r="D220" s="209" t="s">
        <v>241</v>
      </c>
      <c r="E220" s="210">
        <v>15</v>
      </c>
      <c r="F220" s="210">
        <v>15</v>
      </c>
      <c r="G220" s="210">
        <v>0</v>
      </c>
      <c r="H220" s="210">
        <v>0</v>
      </c>
      <c r="I220" s="210">
        <v>0</v>
      </c>
      <c r="J220" s="380">
        <v>25</v>
      </c>
      <c r="K220" s="210">
        <v>1</v>
      </c>
    </row>
    <row r="221" spans="1:17" ht="15.75">
      <c r="A221" s="253">
        <v>3</v>
      </c>
      <c r="B221" s="208" t="s">
        <v>118</v>
      </c>
      <c r="C221" s="17"/>
      <c r="D221" s="209" t="s">
        <v>242</v>
      </c>
      <c r="E221" s="210">
        <v>15</v>
      </c>
      <c r="F221" s="210">
        <v>15</v>
      </c>
      <c r="G221" s="210">
        <v>0</v>
      </c>
      <c r="H221" s="210">
        <v>0</v>
      </c>
      <c r="I221" s="210">
        <v>0</v>
      </c>
      <c r="J221" s="380">
        <v>25</v>
      </c>
      <c r="K221" s="210">
        <v>1</v>
      </c>
      <c r="N221" s="752" t="s">
        <v>299</v>
      </c>
      <c r="O221" s="752"/>
      <c r="P221" s="752"/>
      <c r="Q221" s="752"/>
    </row>
    <row r="222" spans="1:17" ht="15.75">
      <c r="A222" s="253">
        <v>4</v>
      </c>
      <c r="B222" s="208" t="s">
        <v>118</v>
      </c>
      <c r="C222" s="17"/>
      <c r="D222" s="209" t="s">
        <v>242</v>
      </c>
      <c r="E222" s="210">
        <v>15</v>
      </c>
      <c r="F222" s="210">
        <v>15</v>
      </c>
      <c r="G222" s="210">
        <v>0</v>
      </c>
      <c r="H222" s="210">
        <v>0</v>
      </c>
      <c r="I222" s="210">
        <v>0</v>
      </c>
      <c r="J222" s="380">
        <v>25</v>
      </c>
      <c r="K222" s="210">
        <v>1</v>
      </c>
    </row>
    <row r="223" spans="1:17" ht="15.75">
      <c r="A223" s="253">
        <v>5</v>
      </c>
      <c r="B223" s="208" t="s">
        <v>118</v>
      </c>
      <c r="C223" s="17"/>
      <c r="D223" s="209" t="s">
        <v>243</v>
      </c>
      <c r="E223" s="210">
        <v>15</v>
      </c>
      <c r="F223" s="210">
        <v>15</v>
      </c>
      <c r="G223" s="210">
        <v>0</v>
      </c>
      <c r="H223" s="210">
        <v>0</v>
      </c>
      <c r="I223" s="210">
        <v>0</v>
      </c>
      <c r="J223" s="380">
        <v>25</v>
      </c>
      <c r="K223" s="210">
        <v>1</v>
      </c>
      <c r="N223" s="262" t="s">
        <v>301</v>
      </c>
      <c r="O223" s="262"/>
      <c r="P223" s="262"/>
      <c r="Q223" s="262"/>
    </row>
    <row r="224" spans="1:17" ht="78.75" customHeight="1">
      <c r="A224" s="253">
        <v>6</v>
      </c>
      <c r="B224" s="208" t="s">
        <v>118</v>
      </c>
      <c r="C224" s="17"/>
      <c r="D224" s="209" t="s">
        <v>243</v>
      </c>
      <c r="E224" s="210">
        <v>15</v>
      </c>
      <c r="F224" s="210">
        <v>15</v>
      </c>
      <c r="G224" s="210">
        <v>0</v>
      </c>
      <c r="H224" s="210">
        <v>0</v>
      </c>
      <c r="I224" s="210">
        <v>0</v>
      </c>
      <c r="J224" s="380">
        <v>25</v>
      </c>
      <c r="K224" s="210">
        <v>1</v>
      </c>
    </row>
    <row r="225" spans="1:15" ht="63" customHeight="1">
      <c r="A225" s="253">
        <v>7</v>
      </c>
      <c r="B225" s="208" t="s">
        <v>118</v>
      </c>
      <c r="C225" s="17"/>
      <c r="D225" s="209" t="s">
        <v>243</v>
      </c>
      <c r="E225" s="210">
        <v>15</v>
      </c>
      <c r="F225" s="210">
        <v>15</v>
      </c>
      <c r="G225" s="210">
        <v>0</v>
      </c>
      <c r="H225" s="210">
        <v>0</v>
      </c>
      <c r="I225" s="210">
        <v>0</v>
      </c>
      <c r="J225" s="380">
        <v>25</v>
      </c>
      <c r="K225" s="210">
        <v>1</v>
      </c>
    </row>
    <row r="226" spans="1:15" ht="15.75">
      <c r="A226" s="253">
        <v>8</v>
      </c>
      <c r="B226" s="208" t="s">
        <v>118</v>
      </c>
      <c r="C226" s="17"/>
      <c r="D226" s="209" t="s">
        <v>143</v>
      </c>
      <c r="E226" s="210">
        <v>15</v>
      </c>
      <c r="F226" s="210">
        <v>15</v>
      </c>
      <c r="G226" s="210">
        <v>0</v>
      </c>
      <c r="H226" s="210">
        <v>0</v>
      </c>
      <c r="I226" s="210">
        <v>0</v>
      </c>
      <c r="J226" s="380">
        <v>25</v>
      </c>
      <c r="K226" s="210">
        <v>1</v>
      </c>
      <c r="N226" s="338" t="s">
        <v>183</v>
      </c>
    </row>
    <row r="227" spans="1:15" ht="15.75">
      <c r="A227" s="253">
        <v>9</v>
      </c>
      <c r="B227" s="208" t="s">
        <v>118</v>
      </c>
      <c r="C227" s="17"/>
      <c r="D227" s="209" t="s">
        <v>143</v>
      </c>
      <c r="E227" s="210">
        <v>15</v>
      </c>
      <c r="F227" s="210">
        <v>15</v>
      </c>
      <c r="G227" s="210">
        <v>0</v>
      </c>
      <c r="H227" s="210">
        <v>0</v>
      </c>
      <c r="I227" s="210">
        <v>0</v>
      </c>
      <c r="J227" s="380">
        <v>25</v>
      </c>
      <c r="K227" s="210">
        <v>1</v>
      </c>
      <c r="N227" s="213" t="s">
        <v>303</v>
      </c>
    </row>
    <row r="228" spans="1:15" ht="15.75">
      <c r="A228" s="253">
        <v>10</v>
      </c>
      <c r="B228" s="208" t="s">
        <v>118</v>
      </c>
      <c r="C228" s="17"/>
      <c r="D228" s="209" t="s">
        <v>143</v>
      </c>
      <c r="E228" s="210">
        <v>15</v>
      </c>
      <c r="F228" s="210">
        <v>15</v>
      </c>
      <c r="G228" s="210">
        <v>0</v>
      </c>
      <c r="H228" s="210">
        <v>0</v>
      </c>
      <c r="I228" s="210">
        <v>0</v>
      </c>
      <c r="J228" s="380">
        <v>25</v>
      </c>
      <c r="K228" s="210">
        <v>1</v>
      </c>
    </row>
    <row r="229" spans="1:15" ht="15.75">
      <c r="A229" s="253">
        <v>11</v>
      </c>
      <c r="B229" s="208" t="s">
        <v>118</v>
      </c>
      <c r="C229" s="17"/>
      <c r="D229" s="209" t="s">
        <v>145</v>
      </c>
      <c r="E229" s="210">
        <v>15</v>
      </c>
      <c r="F229" s="210">
        <v>15</v>
      </c>
      <c r="G229" s="210">
        <v>0</v>
      </c>
      <c r="H229" s="210">
        <v>0</v>
      </c>
      <c r="I229" s="210">
        <v>0</v>
      </c>
      <c r="J229" s="380">
        <v>25</v>
      </c>
      <c r="K229" s="210">
        <v>1</v>
      </c>
      <c r="M229" s="226"/>
      <c r="N229" s="417"/>
      <c r="O229" s="226"/>
    </row>
    <row r="230" spans="1:15" ht="15.75">
      <c r="A230" s="253">
        <v>12</v>
      </c>
      <c r="B230" s="208" t="s">
        <v>118</v>
      </c>
      <c r="C230" s="17"/>
      <c r="D230" s="209" t="s">
        <v>145</v>
      </c>
      <c r="E230" s="210">
        <v>15</v>
      </c>
      <c r="F230" s="210">
        <v>15</v>
      </c>
      <c r="G230" s="210">
        <v>0</v>
      </c>
      <c r="H230" s="210">
        <v>0</v>
      </c>
      <c r="I230" s="210">
        <v>0</v>
      </c>
      <c r="J230" s="380">
        <v>25</v>
      </c>
      <c r="K230" s="210">
        <v>1</v>
      </c>
      <c r="N230" s="213" t="s">
        <v>173</v>
      </c>
    </row>
    <row r="231" spans="1:15" ht="15.75">
      <c r="A231" s="253">
        <v>13</v>
      </c>
      <c r="B231" s="208" t="s">
        <v>118</v>
      </c>
      <c r="C231" s="17"/>
      <c r="D231" s="209" t="s">
        <v>145</v>
      </c>
      <c r="E231" s="210">
        <v>15</v>
      </c>
      <c r="F231" s="210">
        <v>15</v>
      </c>
      <c r="G231" s="210">
        <v>0</v>
      </c>
      <c r="H231" s="210">
        <v>0</v>
      </c>
      <c r="I231" s="210">
        <v>0</v>
      </c>
      <c r="J231" s="380">
        <v>25</v>
      </c>
      <c r="K231" s="210">
        <v>1</v>
      </c>
    </row>
    <row r="232" spans="1:15" ht="15.75">
      <c r="A232" s="253">
        <v>14</v>
      </c>
      <c r="B232" s="208" t="s">
        <v>118</v>
      </c>
      <c r="C232" s="17"/>
      <c r="D232" s="209" t="s">
        <v>146</v>
      </c>
      <c r="E232" s="210">
        <v>15</v>
      </c>
      <c r="F232" s="210">
        <v>15</v>
      </c>
      <c r="G232" s="210">
        <v>0</v>
      </c>
      <c r="H232" s="210">
        <v>0</v>
      </c>
      <c r="I232" s="210">
        <v>0</v>
      </c>
      <c r="J232" s="380">
        <v>25</v>
      </c>
      <c r="K232" s="210">
        <v>1</v>
      </c>
    </row>
    <row r="233" spans="1:15" ht="15.75">
      <c r="A233" s="253">
        <v>15</v>
      </c>
      <c r="B233" s="208" t="s">
        <v>118</v>
      </c>
      <c r="C233" s="17"/>
      <c r="D233" s="209" t="s">
        <v>146</v>
      </c>
      <c r="E233" s="210">
        <v>15</v>
      </c>
      <c r="F233" s="210">
        <v>15</v>
      </c>
      <c r="G233" s="210">
        <v>0</v>
      </c>
      <c r="H233" s="210">
        <v>0</v>
      </c>
      <c r="I233" s="210">
        <v>0</v>
      </c>
      <c r="J233" s="380">
        <v>25</v>
      </c>
      <c r="K233" s="210">
        <v>1</v>
      </c>
    </row>
    <row r="234" spans="1:15" ht="15.75">
      <c r="A234" s="253">
        <v>16</v>
      </c>
      <c r="B234" s="208" t="s">
        <v>118</v>
      </c>
      <c r="C234" s="17"/>
      <c r="D234" s="209" t="s">
        <v>147</v>
      </c>
      <c r="E234" s="210">
        <v>15</v>
      </c>
      <c r="F234" s="210">
        <v>15</v>
      </c>
      <c r="G234" s="210">
        <v>0</v>
      </c>
      <c r="H234" s="210">
        <v>0</v>
      </c>
      <c r="I234" s="210">
        <v>0</v>
      </c>
      <c r="J234" s="380">
        <v>25</v>
      </c>
      <c r="K234" s="210">
        <v>1</v>
      </c>
    </row>
    <row r="235" spans="1:15" ht="15.75">
      <c r="A235" s="253">
        <v>17</v>
      </c>
      <c r="B235" s="208" t="s">
        <v>118</v>
      </c>
      <c r="C235" s="17"/>
      <c r="D235" s="209" t="s">
        <v>147</v>
      </c>
      <c r="E235" s="210">
        <v>15</v>
      </c>
      <c r="F235" s="210">
        <v>15</v>
      </c>
      <c r="G235" s="210">
        <v>0</v>
      </c>
      <c r="H235" s="210">
        <v>0</v>
      </c>
      <c r="I235" s="210">
        <v>0</v>
      </c>
      <c r="J235" s="380">
        <v>25</v>
      </c>
      <c r="K235" s="210">
        <v>1</v>
      </c>
    </row>
    <row r="236" spans="1:15" ht="15.75">
      <c r="A236" s="253">
        <v>18</v>
      </c>
      <c r="B236" s="208" t="s">
        <v>118</v>
      </c>
      <c r="C236" s="17"/>
      <c r="D236" s="209" t="s">
        <v>144</v>
      </c>
      <c r="E236" s="210">
        <v>15</v>
      </c>
      <c r="F236" s="210">
        <v>15</v>
      </c>
      <c r="G236" s="210">
        <v>0</v>
      </c>
      <c r="H236" s="210">
        <v>0</v>
      </c>
      <c r="I236" s="210">
        <v>0</v>
      </c>
      <c r="J236" s="380">
        <v>25</v>
      </c>
      <c r="K236" s="210">
        <v>1</v>
      </c>
    </row>
    <row r="237" spans="1:15" ht="15.75">
      <c r="A237" s="253">
        <v>19</v>
      </c>
      <c r="B237" s="208" t="s">
        <v>118</v>
      </c>
      <c r="C237" s="17"/>
      <c r="D237" s="209" t="s">
        <v>144</v>
      </c>
      <c r="E237" s="210">
        <v>15</v>
      </c>
      <c r="F237" s="210">
        <v>15</v>
      </c>
      <c r="G237" s="210">
        <v>0</v>
      </c>
      <c r="H237" s="210">
        <v>0</v>
      </c>
      <c r="I237" s="210">
        <v>0</v>
      </c>
      <c r="J237" s="380">
        <v>25</v>
      </c>
      <c r="K237" s="210">
        <v>1</v>
      </c>
    </row>
    <row r="238" spans="1:15" ht="15.75">
      <c r="A238" s="253">
        <v>20</v>
      </c>
      <c r="B238" s="208" t="s">
        <v>118</v>
      </c>
      <c r="C238" s="17"/>
      <c r="D238" s="209" t="s">
        <v>144</v>
      </c>
      <c r="E238" s="210">
        <v>15</v>
      </c>
      <c r="F238" s="210">
        <v>15</v>
      </c>
      <c r="G238" s="210">
        <v>0</v>
      </c>
      <c r="H238" s="210">
        <v>0</v>
      </c>
      <c r="I238" s="210">
        <v>0</v>
      </c>
      <c r="J238" s="380">
        <v>25</v>
      </c>
      <c r="K238" s="210">
        <v>1</v>
      </c>
    </row>
    <row r="239" spans="1:15" ht="15.75">
      <c r="A239" s="253">
        <v>21</v>
      </c>
      <c r="B239" s="208" t="s">
        <v>118</v>
      </c>
      <c r="C239" s="17"/>
      <c r="D239" s="209" t="s">
        <v>144</v>
      </c>
      <c r="E239" s="210">
        <v>15</v>
      </c>
      <c r="F239" s="210">
        <v>15</v>
      </c>
      <c r="G239" s="210">
        <v>0</v>
      </c>
      <c r="H239" s="210">
        <v>0</v>
      </c>
      <c r="I239" s="210">
        <v>0</v>
      </c>
      <c r="J239" s="380">
        <v>25</v>
      </c>
      <c r="K239" s="210">
        <v>1</v>
      </c>
    </row>
    <row r="240" spans="1:15" ht="15.75">
      <c r="A240" s="253">
        <v>22</v>
      </c>
      <c r="B240" s="208" t="s">
        <v>118</v>
      </c>
      <c r="C240" s="17"/>
      <c r="D240" s="209" t="s">
        <v>129</v>
      </c>
      <c r="E240" s="210">
        <v>35</v>
      </c>
      <c r="F240" s="210">
        <v>15</v>
      </c>
      <c r="G240" s="210">
        <v>20</v>
      </c>
      <c r="H240" s="210">
        <v>0</v>
      </c>
      <c r="I240" s="210">
        <v>0</v>
      </c>
      <c r="J240" s="380">
        <v>50</v>
      </c>
      <c r="K240" s="210">
        <v>2</v>
      </c>
    </row>
    <row r="241" spans="1:12" ht="15.75">
      <c r="A241" s="253">
        <v>23</v>
      </c>
      <c r="B241" s="208" t="s">
        <v>118</v>
      </c>
      <c r="C241" s="17"/>
      <c r="D241" s="209" t="s">
        <v>129</v>
      </c>
      <c r="E241" s="210">
        <v>35</v>
      </c>
      <c r="F241" s="210">
        <v>15</v>
      </c>
      <c r="G241" s="210">
        <v>20</v>
      </c>
      <c r="H241" s="210">
        <v>0</v>
      </c>
      <c r="I241" s="210">
        <v>0</v>
      </c>
      <c r="J241" s="380">
        <v>50</v>
      </c>
      <c r="K241" s="210">
        <v>2</v>
      </c>
    </row>
    <row r="242" spans="1:12" ht="15.75">
      <c r="A242" s="253">
        <v>24</v>
      </c>
      <c r="B242" s="208" t="s">
        <v>118</v>
      </c>
      <c r="C242" s="17"/>
      <c r="D242" s="209" t="s">
        <v>129</v>
      </c>
      <c r="E242" s="210">
        <v>35</v>
      </c>
      <c r="F242" s="210">
        <v>15</v>
      </c>
      <c r="G242" s="210">
        <v>20</v>
      </c>
      <c r="H242" s="210">
        <v>0</v>
      </c>
      <c r="I242" s="210">
        <v>0</v>
      </c>
      <c r="J242" s="380">
        <v>50</v>
      </c>
      <c r="K242" s="210">
        <v>2</v>
      </c>
    </row>
    <row r="243" spans="1:12" ht="15.75">
      <c r="A243" s="253">
        <v>25</v>
      </c>
      <c r="B243" s="208" t="s">
        <v>118</v>
      </c>
      <c r="C243" s="17"/>
      <c r="D243" s="209" t="s">
        <v>129</v>
      </c>
      <c r="E243" s="210">
        <v>35</v>
      </c>
      <c r="F243" s="210">
        <v>15</v>
      </c>
      <c r="G243" s="210">
        <v>20</v>
      </c>
      <c r="H243" s="210">
        <v>0</v>
      </c>
      <c r="I243" s="210">
        <v>0</v>
      </c>
      <c r="J243" s="380">
        <v>50</v>
      </c>
      <c r="K243" s="210">
        <v>2</v>
      </c>
    </row>
    <row r="244" spans="1:12" ht="15.75">
      <c r="A244" s="253">
        <v>26</v>
      </c>
      <c r="B244" s="208" t="s">
        <v>118</v>
      </c>
      <c r="C244" s="17"/>
      <c r="D244" s="209" t="s">
        <v>129</v>
      </c>
      <c r="E244" s="210">
        <v>15</v>
      </c>
      <c r="F244" s="210">
        <v>15</v>
      </c>
      <c r="G244" s="210">
        <v>0</v>
      </c>
      <c r="H244" s="210">
        <v>0</v>
      </c>
      <c r="I244" s="210">
        <v>0</v>
      </c>
      <c r="J244" s="380">
        <v>25</v>
      </c>
      <c r="K244" s="210">
        <v>1</v>
      </c>
    </row>
    <row r="245" spans="1:12" ht="15.75">
      <c r="A245" s="253">
        <v>27</v>
      </c>
      <c r="B245" s="208" t="s">
        <v>118</v>
      </c>
      <c r="C245" s="17"/>
      <c r="D245" s="209" t="s">
        <v>129</v>
      </c>
      <c r="E245" s="210">
        <v>15</v>
      </c>
      <c r="F245" s="210">
        <v>15</v>
      </c>
      <c r="G245" s="210">
        <v>0</v>
      </c>
      <c r="H245" s="210">
        <v>0</v>
      </c>
      <c r="I245" s="210">
        <v>0</v>
      </c>
      <c r="J245" s="380">
        <v>25</v>
      </c>
      <c r="K245" s="210">
        <v>1</v>
      </c>
    </row>
    <row r="246" spans="1:12" ht="15.75">
      <c r="A246" s="253">
        <v>28</v>
      </c>
      <c r="B246" s="208" t="s">
        <v>118</v>
      </c>
      <c r="C246" s="17"/>
      <c r="D246" s="209" t="s">
        <v>132</v>
      </c>
      <c r="E246" s="210">
        <v>15</v>
      </c>
      <c r="F246" s="210">
        <v>15</v>
      </c>
      <c r="G246" s="210">
        <v>0</v>
      </c>
      <c r="H246" s="210">
        <v>0</v>
      </c>
      <c r="I246" s="210">
        <v>0</v>
      </c>
      <c r="J246" s="380">
        <v>25</v>
      </c>
      <c r="K246" s="210">
        <v>1</v>
      </c>
    </row>
    <row r="247" spans="1:12" ht="15.75">
      <c r="A247" s="253">
        <v>29</v>
      </c>
      <c r="B247" s="208" t="s">
        <v>118</v>
      </c>
      <c r="C247" s="17"/>
      <c r="D247" s="209" t="s">
        <v>132</v>
      </c>
      <c r="E247" s="210">
        <v>15</v>
      </c>
      <c r="F247" s="210">
        <v>15</v>
      </c>
      <c r="G247" s="210">
        <v>0</v>
      </c>
      <c r="H247" s="210">
        <v>0</v>
      </c>
      <c r="I247" s="210">
        <v>0</v>
      </c>
      <c r="J247" s="380">
        <v>25</v>
      </c>
      <c r="K247" s="210">
        <v>1</v>
      </c>
    </row>
    <row r="248" spans="1:12" ht="48" customHeight="1">
      <c r="A248" s="253">
        <v>30</v>
      </c>
      <c r="B248" s="711" t="s">
        <v>266</v>
      </c>
      <c r="C248" s="712"/>
      <c r="D248" s="209" t="s">
        <v>253</v>
      </c>
      <c r="E248" s="210">
        <v>135</v>
      </c>
      <c r="F248" s="210">
        <v>0</v>
      </c>
      <c r="G248" s="210">
        <v>135</v>
      </c>
      <c r="H248" s="210">
        <v>0</v>
      </c>
      <c r="I248" s="210">
        <v>0</v>
      </c>
      <c r="J248" s="380">
        <v>225</v>
      </c>
      <c r="K248" s="210">
        <v>9</v>
      </c>
    </row>
    <row r="249" spans="1:12">
      <c r="A249" s="703" t="s">
        <v>9</v>
      </c>
      <c r="B249" s="704"/>
      <c r="C249" s="704"/>
      <c r="D249" s="705"/>
      <c r="E249" s="214">
        <f t="shared" ref="E249:K249" si="14">SUM(E219:E248)</f>
        <v>650</v>
      </c>
      <c r="F249" s="214">
        <f t="shared" si="14"/>
        <v>435</v>
      </c>
      <c r="G249" s="214">
        <f t="shared" si="14"/>
        <v>215</v>
      </c>
      <c r="H249" s="214">
        <f t="shared" si="14"/>
        <v>0</v>
      </c>
      <c r="I249" s="214">
        <f t="shared" si="14"/>
        <v>0</v>
      </c>
      <c r="J249" s="380">
        <f t="shared" si="14"/>
        <v>1050</v>
      </c>
      <c r="K249" s="217">
        <f t="shared" si="14"/>
        <v>42</v>
      </c>
      <c r="L249" s="218"/>
    </row>
    <row r="250" spans="1:12" ht="26.25" customHeight="1">
      <c r="A250" s="697" t="s">
        <v>237</v>
      </c>
      <c r="B250" s="698"/>
      <c r="C250" s="698"/>
      <c r="D250" s="699"/>
      <c r="E250" s="276">
        <f t="shared" ref="E250:K250" si="15">SUM(E8,E29,E54,E83,E102,E151,E183,E197,E207,E217,E249,)</f>
        <v>6042</v>
      </c>
      <c r="F250" s="276">
        <f t="shared" si="15"/>
        <v>1660</v>
      </c>
      <c r="G250" s="276">
        <f t="shared" si="15"/>
        <v>1817</v>
      </c>
      <c r="H250" s="276">
        <f t="shared" si="15"/>
        <v>2335</v>
      </c>
      <c r="I250" s="276">
        <f t="shared" si="15"/>
        <v>230</v>
      </c>
      <c r="J250" s="385">
        <f t="shared" si="15"/>
        <v>9397</v>
      </c>
      <c r="K250" s="276">
        <f t="shared" si="15"/>
        <v>368</v>
      </c>
    </row>
    <row r="258" spans="3:3">
      <c r="C258" s="273" t="s">
        <v>126</v>
      </c>
    </row>
  </sheetData>
  <mergeCells count="45">
    <mergeCell ref="A249:D249"/>
    <mergeCell ref="A250:D250"/>
    <mergeCell ref="A9:K9"/>
    <mergeCell ref="A30:K30"/>
    <mergeCell ref="A55:K55"/>
    <mergeCell ref="A85:K85"/>
    <mergeCell ref="A103:K103"/>
    <mergeCell ref="A174:K174"/>
    <mergeCell ref="A208:K208"/>
    <mergeCell ref="A215:A216"/>
    <mergeCell ref="B215:C216"/>
    <mergeCell ref="A217:B217"/>
    <mergeCell ref="A218:K218"/>
    <mergeCell ref="B248:C248"/>
    <mergeCell ref="A183:D183"/>
    <mergeCell ref="A188:K188"/>
    <mergeCell ref="A197:D197"/>
    <mergeCell ref="A198:K198"/>
    <mergeCell ref="N221:Q221"/>
    <mergeCell ref="N219:Q219"/>
    <mergeCell ref="A207:B207"/>
    <mergeCell ref="A1:K1"/>
    <mergeCell ref="A2:B2"/>
    <mergeCell ref="A3:B3"/>
    <mergeCell ref="A8:D8"/>
    <mergeCell ref="A20:K20"/>
    <mergeCell ref="A17:K17"/>
    <mergeCell ref="A10:K10"/>
    <mergeCell ref="A13:K13"/>
    <mergeCell ref="A177:K177"/>
    <mergeCell ref="U24:AY24"/>
    <mergeCell ref="A16:K16"/>
    <mergeCell ref="A54:D54"/>
    <mergeCell ref="U25:V25"/>
    <mergeCell ref="AB25:AJ25"/>
    <mergeCell ref="U26:V26"/>
    <mergeCell ref="A29:D29"/>
    <mergeCell ref="A47:K47"/>
    <mergeCell ref="B43:C43"/>
    <mergeCell ref="A151:D151"/>
    <mergeCell ref="A76:K76"/>
    <mergeCell ref="A83:D83"/>
    <mergeCell ref="A89:K89"/>
    <mergeCell ref="A102:D102"/>
    <mergeCell ref="A137:K137"/>
  </mergeCells>
  <pageMargins left="0.70866141732283461" right="0.70866141732283461" top="0.74803149606299213" bottom="0.74803149606299213" header="0.31496062992125984" footer="0.31496062992125984"/>
  <pageSetup paperSize="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4"/>
  <sheetViews>
    <sheetView zoomScale="90" zoomScaleNormal="90" workbookViewId="0">
      <pane ySplit="6" topLeftCell="A22" activePane="bottomLeft" state="frozen"/>
      <selection pane="bottomLeft" activeCell="B64" sqref="B64"/>
    </sheetView>
  </sheetViews>
  <sheetFormatPr defaultRowHeight="15"/>
  <cols>
    <col min="1" max="1" width="4" style="256" customWidth="1"/>
    <col min="2" max="2" width="3" style="231" bestFit="1" customWidth="1"/>
    <col min="3" max="3" width="58.42578125" style="226" customWidth="1"/>
    <col min="4" max="4" width="21.7109375" style="226" bestFit="1" customWidth="1"/>
    <col min="5" max="5" width="6.140625" style="231" customWidth="1"/>
    <col min="6" max="6" width="6.140625" style="250" customWidth="1"/>
    <col min="7" max="7" width="6.140625" style="231" customWidth="1"/>
    <col min="8" max="25" width="5.140625" style="231" customWidth="1"/>
    <col min="26" max="26" width="7" style="231" customWidth="1"/>
    <col min="27" max="30" width="6.140625" style="231" customWidth="1"/>
    <col min="31" max="31" width="9.140625" style="231" customWidth="1"/>
    <col min="32" max="32" width="7.140625" style="231" customWidth="1"/>
    <col min="33" max="16384" width="9.140625" style="226"/>
  </cols>
  <sheetData>
    <row r="1" spans="1:70" ht="76.5" customHeight="1" thickBot="1">
      <c r="A1" s="258"/>
      <c r="B1" s="291"/>
      <c r="C1" s="731" t="s">
        <v>270</v>
      </c>
      <c r="D1" s="731"/>
      <c r="E1" s="731"/>
      <c r="F1" s="731"/>
      <c r="G1" s="731"/>
      <c r="H1" s="731"/>
      <c r="I1" s="731"/>
      <c r="J1" s="731"/>
      <c r="K1" s="731"/>
      <c r="L1" s="731"/>
      <c r="M1" s="731"/>
      <c r="N1" s="731"/>
      <c r="O1" s="731"/>
      <c r="P1" s="731"/>
      <c r="Q1" s="731"/>
      <c r="R1" s="731"/>
      <c r="S1" s="731"/>
      <c r="T1" s="731"/>
      <c r="U1" s="731"/>
      <c r="V1" s="731"/>
      <c r="W1" s="731"/>
      <c r="X1" s="731"/>
      <c r="Y1" s="731"/>
      <c r="Z1" s="731"/>
      <c r="AA1" s="731"/>
      <c r="AB1" s="731"/>
      <c r="AC1" s="731"/>
      <c r="AD1" s="731"/>
      <c r="AE1" s="731"/>
      <c r="AF1" s="731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</row>
    <row r="2" spans="1:70" ht="18.75">
      <c r="B2" s="732"/>
      <c r="C2" s="733"/>
      <c r="D2" s="733"/>
      <c r="E2" s="733"/>
      <c r="F2" s="733"/>
      <c r="G2" s="734"/>
      <c r="H2" s="599" t="s">
        <v>103</v>
      </c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/>
      <c r="W2" s="599"/>
      <c r="X2" s="599"/>
      <c r="Y2" s="599"/>
      <c r="Z2" s="599"/>
      <c r="AA2" s="599"/>
      <c r="AB2" s="599"/>
      <c r="AC2" s="599"/>
      <c r="AD2" s="599"/>
      <c r="AE2" s="599"/>
      <c r="AF2" s="600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</row>
    <row r="3" spans="1:70" ht="13.5" customHeight="1">
      <c r="B3" s="583" t="s">
        <v>0</v>
      </c>
      <c r="C3" s="578" t="s">
        <v>4</v>
      </c>
      <c r="D3" s="578" t="s">
        <v>1</v>
      </c>
      <c r="E3" s="603" t="s">
        <v>8</v>
      </c>
      <c r="F3" s="603"/>
      <c r="G3" s="603"/>
      <c r="H3" s="729" t="s">
        <v>89</v>
      </c>
      <c r="I3" s="729"/>
      <c r="J3" s="729" t="s">
        <v>88</v>
      </c>
      <c r="K3" s="729"/>
      <c r="L3" s="729" t="s">
        <v>94</v>
      </c>
      <c r="M3" s="729"/>
      <c r="N3" s="729" t="s">
        <v>90</v>
      </c>
      <c r="O3" s="729"/>
      <c r="P3" s="727" t="s">
        <v>7</v>
      </c>
      <c r="Q3" s="730" t="s">
        <v>89</v>
      </c>
      <c r="R3" s="730"/>
      <c r="S3" s="730" t="s">
        <v>88</v>
      </c>
      <c r="T3" s="730"/>
      <c r="U3" s="730" t="s">
        <v>94</v>
      </c>
      <c r="V3" s="730"/>
      <c r="W3" s="730" t="s">
        <v>90</v>
      </c>
      <c r="X3" s="730"/>
      <c r="Y3" s="727" t="s">
        <v>7</v>
      </c>
      <c r="Z3" s="728" t="s">
        <v>5</v>
      </c>
      <c r="AA3" s="728" t="s">
        <v>89</v>
      </c>
      <c r="AB3" s="728" t="s">
        <v>88</v>
      </c>
      <c r="AC3" s="728" t="s">
        <v>94</v>
      </c>
      <c r="AD3" s="728" t="s">
        <v>90</v>
      </c>
      <c r="AE3" s="728" t="s">
        <v>14</v>
      </c>
      <c r="AF3" s="728" t="s">
        <v>6</v>
      </c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5"/>
    </row>
    <row r="4" spans="1:70" ht="13.5" customHeight="1">
      <c r="B4" s="583"/>
      <c r="C4" s="578"/>
      <c r="D4" s="578"/>
      <c r="E4" s="603"/>
      <c r="F4" s="603"/>
      <c r="G4" s="603"/>
      <c r="H4" s="729"/>
      <c r="I4" s="729"/>
      <c r="J4" s="729"/>
      <c r="K4" s="729"/>
      <c r="L4" s="729"/>
      <c r="M4" s="729"/>
      <c r="N4" s="729"/>
      <c r="O4" s="729"/>
      <c r="P4" s="727"/>
      <c r="Q4" s="730"/>
      <c r="R4" s="730"/>
      <c r="S4" s="730"/>
      <c r="T4" s="730"/>
      <c r="U4" s="730"/>
      <c r="V4" s="730"/>
      <c r="W4" s="730"/>
      <c r="X4" s="730"/>
      <c r="Y4" s="727"/>
      <c r="Z4" s="728"/>
      <c r="AA4" s="728"/>
      <c r="AB4" s="728"/>
      <c r="AC4" s="728"/>
      <c r="AD4" s="728"/>
      <c r="AE4" s="728"/>
      <c r="AF4" s="728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</row>
    <row r="5" spans="1:70" ht="18.75" customHeight="1">
      <c r="B5" s="583"/>
      <c r="C5" s="578"/>
      <c r="D5" s="578"/>
      <c r="E5" s="578" t="s">
        <v>2</v>
      </c>
      <c r="F5" s="578" t="s">
        <v>13</v>
      </c>
      <c r="G5" s="578" t="s">
        <v>12</v>
      </c>
      <c r="H5" s="729"/>
      <c r="I5" s="729"/>
      <c r="J5" s="729"/>
      <c r="K5" s="729"/>
      <c r="L5" s="729"/>
      <c r="M5" s="729"/>
      <c r="N5" s="729"/>
      <c r="O5" s="729"/>
      <c r="P5" s="727"/>
      <c r="Q5" s="730"/>
      <c r="R5" s="730"/>
      <c r="S5" s="730"/>
      <c r="T5" s="730"/>
      <c r="U5" s="730"/>
      <c r="V5" s="730"/>
      <c r="W5" s="730"/>
      <c r="X5" s="730"/>
      <c r="Y5" s="727"/>
      <c r="Z5" s="728"/>
      <c r="AA5" s="728"/>
      <c r="AB5" s="728"/>
      <c r="AC5" s="728"/>
      <c r="AD5" s="728"/>
      <c r="AE5" s="728"/>
      <c r="AF5" s="728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</row>
    <row r="6" spans="1:70" ht="45.75" customHeight="1">
      <c r="B6" s="583"/>
      <c r="C6" s="578"/>
      <c r="D6" s="578"/>
      <c r="E6" s="578"/>
      <c r="F6" s="578"/>
      <c r="G6" s="578"/>
      <c r="H6" s="234" t="s">
        <v>15</v>
      </c>
      <c r="I6" s="234" t="s">
        <v>16</v>
      </c>
      <c r="J6" s="234" t="s">
        <v>15</v>
      </c>
      <c r="K6" s="234" t="s">
        <v>16</v>
      </c>
      <c r="L6" s="234" t="s">
        <v>15</v>
      </c>
      <c r="M6" s="234" t="s">
        <v>16</v>
      </c>
      <c r="N6" s="234" t="s">
        <v>15</v>
      </c>
      <c r="O6" s="234" t="s">
        <v>16</v>
      </c>
      <c r="P6" s="727"/>
      <c r="Q6" s="234" t="s">
        <v>15</v>
      </c>
      <c r="R6" s="234" t="s">
        <v>16</v>
      </c>
      <c r="S6" s="234" t="s">
        <v>15</v>
      </c>
      <c r="T6" s="234" t="s">
        <v>16</v>
      </c>
      <c r="U6" s="234" t="s">
        <v>15</v>
      </c>
      <c r="V6" s="234" t="s">
        <v>16</v>
      </c>
      <c r="W6" s="234" t="s">
        <v>15</v>
      </c>
      <c r="X6" s="234" t="s">
        <v>16</v>
      </c>
      <c r="Y6" s="727"/>
      <c r="Z6" s="728"/>
      <c r="AA6" s="728"/>
      <c r="AB6" s="728"/>
      <c r="AC6" s="728"/>
      <c r="AD6" s="728"/>
      <c r="AE6" s="728"/>
      <c r="AF6" s="728"/>
    </row>
    <row r="7" spans="1:70" ht="24.75" customHeight="1">
      <c r="A7" s="721" t="s">
        <v>110</v>
      </c>
      <c r="B7" s="724" t="str">
        <f>'I rok'!A46</f>
        <v>* Zajęcia fakultatywne (student w pierwszym semestrze wybiera 1 z 2, w drugim semestrze wybiera 3 z 4)</v>
      </c>
      <c r="C7" s="725"/>
      <c r="D7" s="725"/>
      <c r="E7" s="725"/>
      <c r="F7" s="725"/>
      <c r="G7" s="725"/>
      <c r="H7" s="725"/>
      <c r="I7" s="725"/>
      <c r="J7" s="725"/>
      <c r="K7" s="725"/>
      <c r="L7" s="725"/>
      <c r="M7" s="725"/>
      <c r="N7" s="725"/>
      <c r="O7" s="725"/>
      <c r="P7" s="725"/>
      <c r="Q7" s="725"/>
      <c r="R7" s="725"/>
      <c r="S7" s="725"/>
      <c r="T7" s="725"/>
      <c r="U7" s="725"/>
      <c r="V7" s="725"/>
      <c r="W7" s="725"/>
      <c r="X7" s="725"/>
      <c r="Y7" s="725"/>
      <c r="Z7" s="725"/>
      <c r="AA7" s="725"/>
      <c r="AB7" s="725"/>
      <c r="AC7" s="725"/>
      <c r="AD7" s="725"/>
      <c r="AE7" s="725"/>
      <c r="AF7" s="726"/>
    </row>
    <row r="8" spans="1:70" ht="24.75" customHeight="1">
      <c r="A8" s="721"/>
      <c r="B8" s="210">
        <v>1</v>
      </c>
      <c r="C8" s="236" t="s">
        <v>114</v>
      </c>
      <c r="D8" s="237" t="str">
        <f>"0912-7LEK-F-"&amp;B8&amp;"-"&amp;UPPER(LEFT(C8,1))&amp;"HKN"</f>
        <v>0912-7LEK-F-1-ZHKN</v>
      </c>
      <c r="E8" s="238"/>
      <c r="F8" s="239">
        <v>1</v>
      </c>
      <c r="G8" s="240"/>
      <c r="H8" s="241">
        <v>15</v>
      </c>
      <c r="I8" s="210">
        <v>10</v>
      </c>
      <c r="J8" s="210"/>
      <c r="K8" s="210"/>
      <c r="L8" s="210"/>
      <c r="M8" s="210"/>
      <c r="N8" s="210"/>
      <c r="O8" s="210"/>
      <c r="P8" s="240">
        <v>1</v>
      </c>
      <c r="Q8" s="241"/>
      <c r="R8" s="210"/>
      <c r="S8" s="210"/>
      <c r="T8" s="210"/>
      <c r="U8" s="210"/>
      <c r="V8" s="210"/>
      <c r="W8" s="210"/>
      <c r="X8" s="210"/>
      <c r="Y8" s="240"/>
      <c r="Z8" s="241">
        <f>SUM(H8,J8,L8,N8,Q8,S8,U8,W8)</f>
        <v>15</v>
      </c>
      <c r="AA8" s="210">
        <f>SUM(H8,Q8)</f>
        <v>15</v>
      </c>
      <c r="AB8" s="210"/>
      <c r="AC8" s="210"/>
      <c r="AD8" s="210"/>
      <c r="AE8" s="210">
        <f>SUM(H8:O8,Q8:X8)</f>
        <v>25</v>
      </c>
      <c r="AF8" s="210">
        <f>SUM(P8,Y8)</f>
        <v>1</v>
      </c>
    </row>
    <row r="9" spans="1:70" ht="24.75" customHeight="1">
      <c r="A9" s="721"/>
      <c r="B9" s="210" t="e">
        <f>'I rok'!#REF!</f>
        <v>#REF!</v>
      </c>
      <c r="C9" s="216" t="e">
        <f>'I rok'!#REF!</f>
        <v>#REF!</v>
      </c>
      <c r="D9" s="242" t="e">
        <f>'I rok'!#REF!</f>
        <v>#REF!</v>
      </c>
      <c r="E9" s="238"/>
      <c r="F9" s="239" t="e">
        <f>'I rok'!#REF!</f>
        <v>#REF!</v>
      </c>
      <c r="G9" s="240"/>
      <c r="H9" s="241" t="e">
        <f>'I rok'!#REF!</f>
        <v>#REF!</v>
      </c>
      <c r="I9" s="210" t="e">
        <f>'I rok'!#REF!</f>
        <v>#REF!</v>
      </c>
      <c r="J9" s="210"/>
      <c r="K9" s="210"/>
      <c r="L9" s="210"/>
      <c r="M9" s="210"/>
      <c r="N9" s="210"/>
      <c r="O9" s="210"/>
      <c r="P9" s="240" t="e">
        <f>'I rok'!#REF!</f>
        <v>#REF!</v>
      </c>
      <c r="Q9" s="241"/>
      <c r="R9" s="210"/>
      <c r="S9" s="210"/>
      <c r="T9" s="210"/>
      <c r="U9" s="210"/>
      <c r="V9" s="210"/>
      <c r="W9" s="210"/>
      <c r="X9" s="210"/>
      <c r="Y9" s="240"/>
      <c r="Z9" s="241" t="e">
        <f>'I rok'!#REF!</f>
        <v>#REF!</v>
      </c>
      <c r="AA9" s="210" t="e">
        <f>'I rok'!#REF!</f>
        <v>#REF!</v>
      </c>
      <c r="AB9" s="210"/>
      <c r="AC9" s="210"/>
      <c r="AD9" s="210"/>
      <c r="AE9" s="210" t="e">
        <f>'I rok'!#REF!</f>
        <v>#REF!</v>
      </c>
      <c r="AF9" s="210" t="e">
        <f>'I rok'!#REF!</f>
        <v>#REF!</v>
      </c>
    </row>
    <row r="10" spans="1:70" ht="24.75" customHeight="1">
      <c r="A10" s="721"/>
      <c r="B10" s="210">
        <v>3</v>
      </c>
      <c r="C10" s="216" t="str">
        <f>'I rok'!B48</f>
        <v>Aktywne składniki materii żywej</v>
      </c>
      <c r="D10" s="242" t="str">
        <f>'I rok'!C48</f>
        <v>0912-7LEK-F-2-ASMŻ</v>
      </c>
      <c r="E10" s="238"/>
      <c r="F10" s="239">
        <f>'I rok'!E48</f>
        <v>1</v>
      </c>
      <c r="G10" s="240"/>
      <c r="H10" s="241">
        <f>'I rok'!G48</f>
        <v>15</v>
      </c>
      <c r="I10" s="210">
        <f>'I rok'!H48</f>
        <v>10</v>
      </c>
      <c r="J10" s="210"/>
      <c r="K10" s="210"/>
      <c r="L10" s="210"/>
      <c r="M10" s="210"/>
      <c r="N10" s="210"/>
      <c r="O10" s="210"/>
      <c r="P10" s="240">
        <f>'I rok'!O48</f>
        <v>1</v>
      </c>
      <c r="Q10" s="241"/>
      <c r="R10" s="210"/>
      <c r="S10" s="210"/>
      <c r="T10" s="210"/>
      <c r="U10" s="210"/>
      <c r="V10" s="210"/>
      <c r="W10" s="210"/>
      <c r="X10" s="210"/>
      <c r="Y10" s="240"/>
      <c r="Z10" s="241">
        <f>'I rok'!Y48</f>
        <v>15</v>
      </c>
      <c r="AA10" s="210">
        <f>'I rok'!Z48</f>
        <v>15</v>
      </c>
      <c r="AB10" s="210"/>
      <c r="AC10" s="210"/>
      <c r="AD10" s="210"/>
      <c r="AE10" s="210">
        <f>'I rok'!AD48</f>
        <v>25</v>
      </c>
      <c r="AF10" s="210">
        <f>'I rok'!AE48</f>
        <v>1</v>
      </c>
    </row>
    <row r="11" spans="1:70" ht="24.75" customHeight="1">
      <c r="A11" s="721"/>
      <c r="B11" s="210">
        <v>4</v>
      </c>
      <c r="C11" s="216" t="str">
        <f>'I rok'!B50</f>
        <v>Struktury ciała ludzkiego w badaniach obrazowych</v>
      </c>
      <c r="D11" s="242" t="str">
        <f>'I rok'!C50</f>
        <v>0912-7LEK-F-4-SC</v>
      </c>
      <c r="E11" s="238"/>
      <c r="F11" s="239">
        <f>'I rok'!E50</f>
        <v>2</v>
      </c>
      <c r="G11" s="240"/>
      <c r="H11" s="241"/>
      <c r="I11" s="210"/>
      <c r="J11" s="210"/>
      <c r="K11" s="210"/>
      <c r="L11" s="210"/>
      <c r="M11" s="210"/>
      <c r="N11" s="210"/>
      <c r="O11" s="210"/>
      <c r="P11" s="240"/>
      <c r="Q11" s="241">
        <f>'I rok'!P50</f>
        <v>15</v>
      </c>
      <c r="R11" s="210">
        <f>'I rok'!Q50</f>
        <v>10</v>
      </c>
      <c r="S11" s="210"/>
      <c r="T11" s="210"/>
      <c r="U11" s="210"/>
      <c r="V11" s="210"/>
      <c r="W11" s="210"/>
      <c r="X11" s="210"/>
      <c r="Y11" s="240">
        <f>'I rok'!X50</f>
        <v>1</v>
      </c>
      <c r="Z11" s="241">
        <f>'I rok'!Y50</f>
        <v>15</v>
      </c>
      <c r="AA11" s="210">
        <f>'I rok'!Z50</f>
        <v>15</v>
      </c>
      <c r="AB11" s="210"/>
      <c r="AC11" s="210"/>
      <c r="AD11" s="210"/>
      <c r="AE11" s="210">
        <f>'I rok'!AD50</f>
        <v>25</v>
      </c>
      <c r="AF11" s="210">
        <f>'I rok'!AE50</f>
        <v>1</v>
      </c>
    </row>
    <row r="12" spans="1:70" ht="24.75" customHeight="1">
      <c r="A12" s="721"/>
      <c r="B12" s="210">
        <v>5</v>
      </c>
      <c r="C12" s="216" t="str">
        <f>'I rok'!B51</f>
        <v>Strukturalne podstawy interwencji sercowo-naczyniowych</v>
      </c>
      <c r="D12" s="242" t="str">
        <f>'I rok'!C51</f>
        <v>0912-7LEK-F-5-SSP</v>
      </c>
      <c r="E12" s="238"/>
      <c r="F12" s="239">
        <f>'I rok'!E51</f>
        <v>2</v>
      </c>
      <c r="G12" s="240"/>
      <c r="H12" s="241"/>
      <c r="I12" s="210"/>
      <c r="J12" s="210"/>
      <c r="K12" s="210"/>
      <c r="L12" s="210"/>
      <c r="M12" s="210"/>
      <c r="N12" s="210"/>
      <c r="O12" s="210"/>
      <c r="P12" s="240"/>
      <c r="Q12" s="241">
        <f>'I rok'!P51</f>
        <v>15</v>
      </c>
      <c r="R12" s="210">
        <f>'I rok'!Q51</f>
        <v>10</v>
      </c>
      <c r="S12" s="210"/>
      <c r="T12" s="210"/>
      <c r="U12" s="210"/>
      <c r="V12" s="210"/>
      <c r="W12" s="210"/>
      <c r="X12" s="210"/>
      <c r="Y12" s="240">
        <f>'I rok'!X51</f>
        <v>1</v>
      </c>
      <c r="Z12" s="241">
        <f>'I rok'!Y51</f>
        <v>15</v>
      </c>
      <c r="AA12" s="210">
        <f>'I rok'!Z51</f>
        <v>15</v>
      </c>
      <c r="AB12" s="210"/>
      <c r="AC12" s="210"/>
      <c r="AD12" s="210"/>
      <c r="AE12" s="210">
        <f>'I rok'!AD51</f>
        <v>25</v>
      </c>
      <c r="AF12" s="210">
        <f>'I rok'!AE51</f>
        <v>1</v>
      </c>
    </row>
    <row r="13" spans="1:70" ht="24.75" customHeight="1">
      <c r="A13" s="721"/>
      <c r="B13" s="210">
        <v>6</v>
      </c>
      <c r="C13" s="216" t="str">
        <f>'I rok'!B52</f>
        <v>Nowoczesne techniki mikroskopowe w medycynie</v>
      </c>
      <c r="D13" s="242" t="str">
        <f>'I rok'!C52</f>
        <v>0912-7LEK-F-6-NT</v>
      </c>
      <c r="E13" s="238"/>
      <c r="F13" s="239">
        <f>'I rok'!E52</f>
        <v>2</v>
      </c>
      <c r="G13" s="240"/>
      <c r="H13" s="241"/>
      <c r="I13" s="210"/>
      <c r="J13" s="210"/>
      <c r="K13" s="210"/>
      <c r="L13" s="210"/>
      <c r="M13" s="210"/>
      <c r="N13" s="210"/>
      <c r="O13" s="210"/>
      <c r="P13" s="240"/>
      <c r="Q13" s="241">
        <f>'I rok'!P52</f>
        <v>15</v>
      </c>
      <c r="R13" s="210">
        <f>'I rok'!Q52</f>
        <v>10</v>
      </c>
      <c r="S13" s="210"/>
      <c r="T13" s="210"/>
      <c r="U13" s="210"/>
      <c r="V13" s="210"/>
      <c r="W13" s="210"/>
      <c r="X13" s="210"/>
      <c r="Y13" s="240">
        <f>'I rok'!X52</f>
        <v>1</v>
      </c>
      <c r="Z13" s="241">
        <f>'I rok'!Y52</f>
        <v>15</v>
      </c>
      <c r="AA13" s="210">
        <f>'I rok'!Z52</f>
        <v>15</v>
      </c>
      <c r="AB13" s="210"/>
      <c r="AC13" s="210"/>
      <c r="AD13" s="210"/>
      <c r="AE13" s="210">
        <f>'I rok'!AD52</f>
        <v>25</v>
      </c>
      <c r="AF13" s="210">
        <f>'I rok'!AE52</f>
        <v>1</v>
      </c>
    </row>
    <row r="14" spans="1:70" ht="24.75" customHeight="1">
      <c r="A14" s="721" t="s">
        <v>121</v>
      </c>
      <c r="B14" s="718" t="str">
        <f>'II rok'!A48</f>
        <v>* Zajęcia fakultatywne (student wybiera w 3 semestrze 2 z 4; w 4 semestrze 2 z 5)</v>
      </c>
      <c r="C14" s="722"/>
      <c r="D14" s="722"/>
      <c r="E14" s="722"/>
      <c r="F14" s="722"/>
      <c r="G14" s="722"/>
      <c r="H14" s="722"/>
      <c r="I14" s="722"/>
      <c r="J14" s="722"/>
      <c r="K14" s="722"/>
      <c r="L14" s="722"/>
      <c r="M14" s="722"/>
      <c r="N14" s="722"/>
      <c r="O14" s="722"/>
      <c r="P14" s="722"/>
      <c r="Q14" s="722"/>
      <c r="R14" s="722"/>
      <c r="S14" s="722"/>
      <c r="T14" s="722"/>
      <c r="U14" s="722"/>
      <c r="V14" s="722"/>
      <c r="W14" s="722"/>
      <c r="X14" s="722"/>
      <c r="Y14" s="722"/>
      <c r="Z14" s="722"/>
      <c r="AA14" s="722"/>
      <c r="AB14" s="722"/>
      <c r="AC14" s="722"/>
      <c r="AD14" s="722"/>
      <c r="AE14" s="722"/>
      <c r="AF14" s="723"/>
    </row>
    <row r="15" spans="1:70" ht="24.75" customHeight="1">
      <c r="A15" s="721"/>
      <c r="B15" s="249" t="s">
        <v>147</v>
      </c>
      <c r="C15" s="243" t="str">
        <f>'II rok'!B50</f>
        <v>Praktyka medyczna oparta na dowodach naukowych (EBM)</v>
      </c>
      <c r="D15" s="244" t="str">
        <f>'II rok'!C50</f>
        <v>0912-7LEK-F-7-EBM</v>
      </c>
      <c r="E15" s="245"/>
      <c r="F15" s="246">
        <f>'II rok'!E50</f>
        <v>3</v>
      </c>
      <c r="G15" s="247"/>
      <c r="H15" s="248">
        <f>'II rok'!G50</f>
        <v>15</v>
      </c>
      <c r="I15" s="249">
        <f>'II rok'!H50</f>
        <v>10</v>
      </c>
      <c r="J15" s="249"/>
      <c r="K15" s="249"/>
      <c r="L15" s="249"/>
      <c r="M15" s="249"/>
      <c r="N15" s="249"/>
      <c r="O15" s="249"/>
      <c r="P15" s="247">
        <f>'II rok'!O50</f>
        <v>1</v>
      </c>
      <c r="Q15" s="248"/>
      <c r="R15" s="249"/>
      <c r="S15" s="249"/>
      <c r="T15" s="249"/>
      <c r="U15" s="249"/>
      <c r="V15" s="249"/>
      <c r="W15" s="249"/>
      <c r="X15" s="249"/>
      <c r="Y15" s="247"/>
      <c r="Z15" s="248">
        <f>'II rok'!Y50</f>
        <v>15</v>
      </c>
      <c r="AA15" s="249">
        <f>'II rok'!Z50</f>
        <v>15</v>
      </c>
      <c r="AB15" s="249"/>
      <c r="AC15" s="249"/>
      <c r="AD15" s="249"/>
      <c r="AE15" s="249">
        <f>'II rok'!AD50</f>
        <v>25</v>
      </c>
      <c r="AF15" s="249">
        <f>'II rok'!AE50</f>
        <v>1</v>
      </c>
    </row>
    <row r="16" spans="1:70" ht="24.75" customHeight="1">
      <c r="A16" s="721"/>
      <c r="B16" s="249" t="s">
        <v>144</v>
      </c>
      <c r="C16" s="243" t="str">
        <f>'II rok'!B51</f>
        <v>Żywność modyfikowana genetycznie</v>
      </c>
      <c r="D16" s="244" t="str">
        <f>'II rok'!C51</f>
        <v>0912-7LEK-F-8-GMO</v>
      </c>
      <c r="E16" s="245"/>
      <c r="F16" s="246">
        <f>'II rok'!E51</f>
        <v>3</v>
      </c>
      <c r="G16" s="247"/>
      <c r="H16" s="248">
        <f>'II rok'!G51</f>
        <v>15</v>
      </c>
      <c r="I16" s="249">
        <f>'II rok'!H51</f>
        <v>10</v>
      </c>
      <c r="J16" s="249"/>
      <c r="K16" s="249"/>
      <c r="L16" s="249"/>
      <c r="M16" s="249"/>
      <c r="N16" s="249"/>
      <c r="O16" s="249"/>
      <c r="P16" s="247">
        <f>'II rok'!O51</f>
        <v>1</v>
      </c>
      <c r="Q16" s="248"/>
      <c r="R16" s="249"/>
      <c r="S16" s="249"/>
      <c r="T16" s="249"/>
      <c r="U16" s="249"/>
      <c r="V16" s="249"/>
      <c r="W16" s="249"/>
      <c r="X16" s="249"/>
      <c r="Y16" s="247"/>
      <c r="Z16" s="248">
        <f>'II rok'!Y51</f>
        <v>15</v>
      </c>
      <c r="AA16" s="249">
        <f>'II rok'!Z51</f>
        <v>15</v>
      </c>
      <c r="AB16" s="249"/>
      <c r="AC16" s="249"/>
      <c r="AD16" s="249"/>
      <c r="AE16" s="249">
        <f>'II rok'!AD51</f>
        <v>25</v>
      </c>
      <c r="AF16" s="249">
        <f>'II rok'!AE51</f>
        <v>1</v>
      </c>
    </row>
    <row r="17" spans="1:32" ht="24.75" customHeight="1">
      <c r="A17" s="721"/>
      <c r="B17" s="249" t="s">
        <v>129</v>
      </c>
      <c r="C17" s="418" t="str">
        <f>'II rok'!B52</f>
        <v xml:space="preserve">Racjonalna antybiotykoterapia </v>
      </c>
      <c r="D17" s="419" t="str">
        <f>'II rok'!C52</f>
        <v>0912-7LEK-F9-RA</v>
      </c>
      <c r="E17" s="420"/>
      <c r="F17" s="421">
        <f>'II rok'!E52</f>
        <v>3</v>
      </c>
      <c r="G17" s="247"/>
      <c r="H17" s="248">
        <f>'II rok'!G52</f>
        <v>15</v>
      </c>
      <c r="I17" s="249">
        <f>'II rok'!H52</f>
        <v>10</v>
      </c>
      <c r="J17" s="249"/>
      <c r="K17" s="249"/>
      <c r="L17" s="249"/>
      <c r="M17" s="249"/>
      <c r="N17" s="249"/>
      <c r="O17" s="249"/>
      <c r="P17" s="247">
        <f>'II rok'!O52</f>
        <v>1</v>
      </c>
      <c r="Q17" s="248"/>
      <c r="R17" s="249"/>
      <c r="S17" s="249"/>
      <c r="T17" s="249"/>
      <c r="U17" s="249"/>
      <c r="V17" s="249"/>
      <c r="W17" s="249"/>
      <c r="X17" s="249"/>
      <c r="Y17" s="247"/>
      <c r="Z17" s="248">
        <f>'II rok'!Y52</f>
        <v>15</v>
      </c>
      <c r="AA17" s="249">
        <f>'II rok'!Z52</f>
        <v>15</v>
      </c>
      <c r="AB17" s="249"/>
      <c r="AC17" s="249"/>
      <c r="AD17" s="249"/>
      <c r="AE17" s="249">
        <f>'II rok'!AD52</f>
        <v>25</v>
      </c>
      <c r="AF17" s="249">
        <f>'II rok'!AE52</f>
        <v>1</v>
      </c>
    </row>
    <row r="18" spans="1:32" ht="24.75" customHeight="1">
      <c r="A18" s="721"/>
      <c r="B18" s="249" t="s">
        <v>132</v>
      </c>
      <c r="C18" s="243" t="str">
        <f>'II rok'!B54</f>
        <v xml:space="preserve">Inżynieria genetyczna </v>
      </c>
      <c r="D18" s="244" t="str">
        <f>'II rok'!C54</f>
        <v>0912-7LEK-F11-IG</v>
      </c>
      <c r="E18" s="245"/>
      <c r="F18" s="246">
        <f>'II rok'!E54</f>
        <v>4</v>
      </c>
      <c r="G18" s="247"/>
      <c r="H18" s="248"/>
      <c r="I18" s="249"/>
      <c r="J18" s="249"/>
      <c r="K18" s="249"/>
      <c r="L18" s="249"/>
      <c r="M18" s="249"/>
      <c r="N18" s="249"/>
      <c r="O18" s="249"/>
      <c r="P18" s="247"/>
      <c r="Q18" s="248"/>
      <c r="R18" s="249"/>
      <c r="S18" s="249">
        <f>'II rok'!R54</f>
        <v>0</v>
      </c>
      <c r="T18" s="249">
        <f>'II rok'!S54</f>
        <v>0</v>
      </c>
      <c r="U18" s="249"/>
      <c r="V18" s="249"/>
      <c r="W18" s="249"/>
      <c r="X18" s="249"/>
      <c r="Y18" s="247">
        <f>'II rok'!X54</f>
        <v>1</v>
      </c>
      <c r="Z18" s="248">
        <f>'II rok'!Y54</f>
        <v>15</v>
      </c>
      <c r="AA18" s="249"/>
      <c r="AB18" s="249">
        <f>'II rok'!AA54</f>
        <v>0</v>
      </c>
      <c r="AC18" s="249"/>
      <c r="AD18" s="249"/>
      <c r="AE18" s="249">
        <f>'II rok'!AD54</f>
        <v>25</v>
      </c>
      <c r="AF18" s="249">
        <f>'II rok'!AE54</f>
        <v>1</v>
      </c>
    </row>
    <row r="19" spans="1:32" ht="24.75" customHeight="1">
      <c r="A19" s="721"/>
      <c r="B19" s="249" t="s">
        <v>133</v>
      </c>
      <c r="C19" s="243" t="str">
        <f>'II rok'!B55</f>
        <v>Elektrofizjologia</v>
      </c>
      <c r="D19" s="244" t="str">
        <f>'II rok'!C55</f>
        <v>0912-7LEK-F-12-Ef</v>
      </c>
      <c r="E19" s="245"/>
      <c r="F19" s="246">
        <f>'II rok'!E55</f>
        <v>4</v>
      </c>
      <c r="G19" s="247"/>
      <c r="H19" s="248"/>
      <c r="I19" s="249"/>
      <c r="J19" s="249"/>
      <c r="K19" s="249"/>
      <c r="L19" s="249"/>
      <c r="M19" s="249"/>
      <c r="N19" s="249"/>
      <c r="O19" s="249"/>
      <c r="P19" s="247"/>
      <c r="Q19" s="248">
        <f>'II rok'!P55</f>
        <v>15</v>
      </c>
      <c r="R19" s="249">
        <f>'II rok'!Q55</f>
        <v>10</v>
      </c>
      <c r="S19" s="249"/>
      <c r="T19" s="249"/>
      <c r="U19" s="249"/>
      <c r="V19" s="249"/>
      <c r="W19" s="249"/>
      <c r="X19" s="249"/>
      <c r="Y19" s="247">
        <f>'II rok'!X55</f>
        <v>1</v>
      </c>
      <c r="Z19" s="248">
        <f>'II rok'!Y55</f>
        <v>15</v>
      </c>
      <c r="AA19" s="249">
        <f>'II rok'!Z55</f>
        <v>15</v>
      </c>
      <c r="AB19" s="249"/>
      <c r="AC19" s="249"/>
      <c r="AD19" s="249"/>
      <c r="AE19" s="249">
        <f>'II rok'!AD55</f>
        <v>25</v>
      </c>
      <c r="AF19" s="249">
        <f>'II rok'!AE55</f>
        <v>1</v>
      </c>
    </row>
    <row r="20" spans="1:32" ht="24.75" customHeight="1">
      <c r="A20" s="721"/>
      <c r="B20" s="249" t="s">
        <v>134</v>
      </c>
      <c r="C20" s="243" t="str">
        <f>'II rok'!B56</f>
        <v>Aparatura medyczna</v>
      </c>
      <c r="D20" s="244" t="str">
        <f>'II rok'!C56</f>
        <v>0912-7LEK-F-13-AM</v>
      </c>
      <c r="E20" s="245"/>
      <c r="F20" s="246">
        <f>'II rok'!E56</f>
        <v>4</v>
      </c>
      <c r="G20" s="247"/>
      <c r="H20" s="248"/>
      <c r="I20" s="249"/>
      <c r="J20" s="249"/>
      <c r="K20" s="249"/>
      <c r="L20" s="249"/>
      <c r="M20" s="249"/>
      <c r="N20" s="249"/>
      <c r="O20" s="249"/>
      <c r="P20" s="247"/>
      <c r="Q20" s="248">
        <f>'II rok'!P56</f>
        <v>15</v>
      </c>
      <c r="R20" s="249">
        <f>'II rok'!Q56</f>
        <v>10</v>
      </c>
      <c r="S20" s="249"/>
      <c r="T20" s="249"/>
      <c r="U20" s="249"/>
      <c r="V20" s="249"/>
      <c r="W20" s="249"/>
      <c r="X20" s="249"/>
      <c r="Y20" s="247">
        <f>'II rok'!X56</f>
        <v>1</v>
      </c>
      <c r="Z20" s="248">
        <f>'II rok'!Y56</f>
        <v>15</v>
      </c>
      <c r="AA20" s="249">
        <f>'II rok'!Z56</f>
        <v>15</v>
      </c>
      <c r="AB20" s="249"/>
      <c r="AC20" s="249"/>
      <c r="AD20" s="249"/>
      <c r="AE20" s="249">
        <f>'II rok'!AD56</f>
        <v>25</v>
      </c>
      <c r="AF20" s="249">
        <f>'II rok'!AE56</f>
        <v>1</v>
      </c>
    </row>
    <row r="21" spans="1:32" ht="24.75" customHeight="1">
      <c r="A21" s="721"/>
      <c r="B21" s="249" t="s">
        <v>135</v>
      </c>
      <c r="C21" s="243" t="str">
        <f>'II rok'!B57</f>
        <v>Immunologia onkologiczna</v>
      </c>
      <c r="D21" s="244" t="str">
        <f>'II rok'!C57</f>
        <v>0912-7LEK-F-14-IO</v>
      </c>
      <c r="E21" s="245"/>
      <c r="F21" s="246">
        <f>'II rok'!E57</f>
        <v>4</v>
      </c>
      <c r="G21" s="247"/>
      <c r="H21" s="281"/>
      <c r="I21" s="282"/>
      <c r="J21" s="282"/>
      <c r="K21" s="282"/>
      <c r="L21" s="282"/>
      <c r="M21" s="282"/>
      <c r="N21" s="282"/>
      <c r="O21" s="282"/>
      <c r="P21" s="280"/>
      <c r="Q21" s="281">
        <f>'II rok'!P57</f>
        <v>15</v>
      </c>
      <c r="R21" s="282">
        <f>'II rok'!Q57</f>
        <v>10</v>
      </c>
      <c r="S21" s="282"/>
      <c r="T21" s="282"/>
      <c r="U21" s="282"/>
      <c r="V21" s="282"/>
      <c r="W21" s="282"/>
      <c r="X21" s="282"/>
      <c r="Y21" s="280">
        <f>'II rok'!X57</f>
        <v>1</v>
      </c>
      <c r="Z21" s="281">
        <f>'II rok'!Y57</f>
        <v>15</v>
      </c>
      <c r="AA21" s="282">
        <f>'II rok'!Z57</f>
        <v>15</v>
      </c>
      <c r="AB21" s="282"/>
      <c r="AC21" s="282"/>
      <c r="AD21" s="282"/>
      <c r="AE21" s="282">
        <f>'II rok'!AD57</f>
        <v>25</v>
      </c>
      <c r="AF21" s="282">
        <f>'II rok'!AE57</f>
        <v>1</v>
      </c>
    </row>
    <row r="22" spans="1:32" ht="24.75" customHeight="1">
      <c r="A22" s="297"/>
      <c r="B22" s="249" t="s">
        <v>136</v>
      </c>
      <c r="C22" s="308" t="s">
        <v>274</v>
      </c>
      <c r="D22" s="307" t="str">
        <f>"0912-7LEK-F-"&amp;B22&amp;"-"&amp;UPPER(LEFT(C22,1))&amp;"O"</f>
        <v>0912-7LEK-F-14-HO</v>
      </c>
      <c r="E22" s="245"/>
      <c r="F22" s="246" t="s">
        <v>143</v>
      </c>
      <c r="G22" s="255"/>
      <c r="H22" s="245"/>
      <c r="I22" s="249"/>
      <c r="J22" s="249"/>
      <c r="K22" s="249"/>
      <c r="L22" s="249"/>
      <c r="M22" s="249"/>
      <c r="N22" s="249"/>
      <c r="O22" s="249"/>
      <c r="P22" s="247"/>
      <c r="Q22" s="245">
        <f>'II rok'!P58</f>
        <v>15</v>
      </c>
      <c r="R22" s="249">
        <f>'II rok'!Q58</f>
        <v>10</v>
      </c>
      <c r="S22" s="249"/>
      <c r="T22" s="249"/>
      <c r="U22" s="249"/>
      <c r="V22" s="249"/>
      <c r="W22" s="249"/>
      <c r="X22" s="249"/>
      <c r="Y22" s="247">
        <f>'II rok'!X58</f>
        <v>1</v>
      </c>
      <c r="Z22" s="248">
        <f>'II rok'!Y58</f>
        <v>15</v>
      </c>
      <c r="AA22" s="249">
        <f>'II rok'!Z58</f>
        <v>15</v>
      </c>
      <c r="AB22" s="249"/>
      <c r="AC22" s="249"/>
      <c r="AD22" s="249"/>
      <c r="AE22" s="249">
        <f>'II rok'!AD58</f>
        <v>25</v>
      </c>
      <c r="AF22" s="249">
        <f>'II rok'!AE58</f>
        <v>1</v>
      </c>
    </row>
    <row r="23" spans="1:32" ht="24.75" customHeight="1">
      <c r="A23" s="721" t="s">
        <v>148</v>
      </c>
      <c r="B23" s="718" t="str">
        <f>'III rok'!A42</f>
        <v>* Zajęcia fakultatywne (student wybiera w 5 semestrze 3 z 5; w 6 semestrze 2 z 3)</v>
      </c>
      <c r="C23" s="722"/>
      <c r="D23" s="722"/>
      <c r="E23" s="722"/>
      <c r="F23" s="722"/>
      <c r="G23" s="722"/>
      <c r="H23" s="758"/>
      <c r="I23" s="758"/>
      <c r="J23" s="758"/>
      <c r="K23" s="758"/>
      <c r="L23" s="758"/>
      <c r="M23" s="758"/>
      <c r="N23" s="758"/>
      <c r="O23" s="758"/>
      <c r="P23" s="758"/>
      <c r="Q23" s="758"/>
      <c r="R23" s="758"/>
      <c r="S23" s="758"/>
      <c r="T23" s="758"/>
      <c r="U23" s="758"/>
      <c r="V23" s="758"/>
      <c r="W23" s="758"/>
      <c r="X23" s="758"/>
      <c r="Y23" s="758"/>
      <c r="Z23" s="758"/>
      <c r="AA23" s="758"/>
      <c r="AB23" s="758"/>
      <c r="AC23" s="758"/>
      <c r="AD23" s="758"/>
      <c r="AE23" s="758"/>
      <c r="AF23" s="759"/>
    </row>
    <row r="24" spans="1:32" ht="24.75" customHeight="1">
      <c r="A24" s="721"/>
      <c r="B24" s="249" t="s">
        <v>140</v>
      </c>
      <c r="C24" s="243" t="str">
        <f>'III rok'!B44</f>
        <v>Patofizjologia nerek</v>
      </c>
      <c r="D24" s="244" t="str">
        <f>'III rok'!C44</f>
        <v>0912-7LEK-F-16-PN</v>
      </c>
      <c r="E24" s="245"/>
      <c r="F24" s="246">
        <f>'III rok'!E44</f>
        <v>5</v>
      </c>
      <c r="G24" s="247"/>
      <c r="H24" s="248">
        <f>'III rok'!G44</f>
        <v>15</v>
      </c>
      <c r="I24" s="249">
        <f>'III rok'!H44</f>
        <v>10</v>
      </c>
      <c r="J24" s="249"/>
      <c r="K24" s="249"/>
      <c r="L24" s="249"/>
      <c r="M24" s="249"/>
      <c r="N24" s="249"/>
      <c r="O24" s="249"/>
      <c r="P24" s="247">
        <f>'III rok'!O44</f>
        <v>1</v>
      </c>
      <c r="Q24" s="248"/>
      <c r="R24" s="249"/>
      <c r="S24" s="249"/>
      <c r="T24" s="249"/>
      <c r="U24" s="249"/>
      <c r="V24" s="249"/>
      <c r="W24" s="249"/>
      <c r="X24" s="249"/>
      <c r="Y24" s="247"/>
      <c r="Z24" s="248">
        <f>'III rok'!Y44</f>
        <v>15</v>
      </c>
      <c r="AA24" s="249">
        <f>'III rok'!Z44</f>
        <v>15</v>
      </c>
      <c r="AB24" s="249"/>
      <c r="AC24" s="249"/>
      <c r="AD24" s="249"/>
      <c r="AE24" s="249">
        <f>'III rok'!AD44</f>
        <v>25</v>
      </c>
      <c r="AF24" s="249">
        <f>'III rok'!AE44</f>
        <v>1</v>
      </c>
    </row>
    <row r="25" spans="1:32" ht="24.75" customHeight="1">
      <c r="A25" s="721"/>
      <c r="B25" s="249" t="s">
        <v>141</v>
      </c>
      <c r="C25" s="243" t="str">
        <f>'III rok'!B45</f>
        <v xml:space="preserve">Patofizjologia trzustki </v>
      </c>
      <c r="D25" s="244" t="str">
        <f>'III rok'!C45</f>
        <v>0912-7LEK-F-17-PT</v>
      </c>
      <c r="E25" s="245"/>
      <c r="F25" s="246">
        <f>'III rok'!E45</f>
        <v>5</v>
      </c>
      <c r="G25" s="247"/>
      <c r="H25" s="248">
        <f>'III rok'!G45</f>
        <v>15</v>
      </c>
      <c r="I25" s="249">
        <f>'III rok'!H45</f>
        <v>10</v>
      </c>
      <c r="J25" s="249"/>
      <c r="K25" s="249"/>
      <c r="L25" s="249"/>
      <c r="M25" s="249"/>
      <c r="N25" s="249"/>
      <c r="O25" s="249"/>
      <c r="P25" s="247">
        <f>'III rok'!O45</f>
        <v>1</v>
      </c>
      <c r="Q25" s="248"/>
      <c r="R25" s="249"/>
      <c r="S25" s="249"/>
      <c r="T25" s="249"/>
      <c r="U25" s="249"/>
      <c r="V25" s="249"/>
      <c r="W25" s="249"/>
      <c r="X25" s="249"/>
      <c r="Y25" s="247"/>
      <c r="Z25" s="248">
        <f>'III rok'!Y45</f>
        <v>15</v>
      </c>
      <c r="AA25" s="249">
        <f>'III rok'!Z45</f>
        <v>15</v>
      </c>
      <c r="AB25" s="249"/>
      <c r="AC25" s="249"/>
      <c r="AD25" s="249"/>
      <c r="AE25" s="249">
        <f>'III rok'!AD45</f>
        <v>25</v>
      </c>
      <c r="AF25" s="249">
        <f>'III rok'!AE45</f>
        <v>1</v>
      </c>
    </row>
    <row r="26" spans="1:32" ht="24.75" customHeight="1">
      <c r="A26" s="721"/>
      <c r="B26" s="249" t="s">
        <v>142</v>
      </c>
      <c r="C26" s="243" t="str">
        <f>'III rok'!B47</f>
        <v>Interwencja kryzysowa
 (przedmiot realizowany w formie ćwiczeń)</v>
      </c>
      <c r="D26" s="244" t="str">
        <f>'III rok'!C47</f>
        <v>0912-7LEK-F-18-IK</v>
      </c>
      <c r="E26" s="245"/>
      <c r="F26" s="246">
        <f>'III rok'!E47</f>
        <v>5</v>
      </c>
      <c r="G26" s="247"/>
      <c r="H26" s="248"/>
      <c r="I26" s="249"/>
      <c r="J26" s="249">
        <f>'III rok'!I47</f>
        <v>15</v>
      </c>
      <c r="K26" s="249">
        <f>'III rok'!J47</f>
        <v>10</v>
      </c>
      <c r="L26" s="249"/>
      <c r="M26" s="249"/>
      <c r="N26" s="249"/>
      <c r="O26" s="249"/>
      <c r="P26" s="247">
        <f>'III rok'!O47</f>
        <v>1</v>
      </c>
      <c r="Q26" s="248"/>
      <c r="R26" s="249"/>
      <c r="S26" s="249"/>
      <c r="T26" s="249"/>
      <c r="U26" s="249"/>
      <c r="V26" s="249"/>
      <c r="W26" s="249"/>
      <c r="X26" s="249"/>
      <c r="Y26" s="247"/>
      <c r="Z26" s="248">
        <f>'III rok'!Y47</f>
        <v>15</v>
      </c>
      <c r="AA26" s="249">
        <f>'III rok'!Z47</f>
        <v>0</v>
      </c>
      <c r="AB26" s="249">
        <f>'III rok'!AA47</f>
        <v>15</v>
      </c>
      <c r="AC26" s="249"/>
      <c r="AD26" s="249"/>
      <c r="AE26" s="249">
        <f>'III rok'!AD47</f>
        <v>25</v>
      </c>
      <c r="AF26" s="249">
        <f>'III rok'!AE47</f>
        <v>1</v>
      </c>
    </row>
    <row r="27" spans="1:32" ht="24.75" customHeight="1">
      <c r="A27" s="721"/>
      <c r="B27" s="249" t="s">
        <v>150</v>
      </c>
      <c r="C27" s="243" t="str">
        <f>'III rok'!B48</f>
        <v>Język migowy 
 (przedmiot realizowany w formie ćwiczeń)</v>
      </c>
      <c r="D27" s="244" t="str">
        <f>'III rok'!C48</f>
        <v>0912-7LEK-F-19-JM</v>
      </c>
      <c r="E27" s="245"/>
      <c r="F27" s="246">
        <f>'III rok'!E48</f>
        <v>5</v>
      </c>
      <c r="G27" s="247"/>
      <c r="H27" s="248"/>
      <c r="I27" s="249"/>
      <c r="J27" s="249">
        <f>'III rok'!I48</f>
        <v>15</v>
      </c>
      <c r="K27" s="249">
        <f>'III rok'!J48</f>
        <v>10</v>
      </c>
      <c r="L27" s="249"/>
      <c r="M27" s="249"/>
      <c r="N27" s="249"/>
      <c r="O27" s="249"/>
      <c r="P27" s="247">
        <f>'III rok'!O48</f>
        <v>1</v>
      </c>
      <c r="Q27" s="248"/>
      <c r="R27" s="249"/>
      <c r="S27" s="249"/>
      <c r="T27" s="249"/>
      <c r="U27" s="249"/>
      <c r="V27" s="249"/>
      <c r="W27" s="249"/>
      <c r="X27" s="249"/>
      <c r="Y27" s="247"/>
      <c r="Z27" s="248">
        <f>'III rok'!Y48</f>
        <v>15</v>
      </c>
      <c r="AA27" s="249">
        <f>'III rok'!Z48</f>
        <v>0</v>
      </c>
      <c r="AB27" s="249">
        <f>'III rok'!AA48</f>
        <v>15</v>
      </c>
      <c r="AC27" s="249"/>
      <c r="AD27" s="249"/>
      <c r="AE27" s="249">
        <f>'III rok'!AD48</f>
        <v>25</v>
      </c>
      <c r="AF27" s="249">
        <f>'III rok'!AE48</f>
        <v>1</v>
      </c>
    </row>
    <row r="28" spans="1:32" ht="24.75" customHeight="1">
      <c r="A28" s="721"/>
      <c r="B28" s="249" t="s">
        <v>151</v>
      </c>
      <c r="C28" s="243" t="str">
        <f>'III rok'!B49</f>
        <v>Patomorfologia zmian zapalnych o różnej etiologii</v>
      </c>
      <c r="D28" s="244" t="str">
        <f>'III rok'!C49</f>
        <v>0912-7LEK-F-20-PZ</v>
      </c>
      <c r="E28" s="245"/>
      <c r="F28" s="246">
        <f>'III rok'!E49</f>
        <v>6</v>
      </c>
      <c r="G28" s="247"/>
      <c r="H28" s="248"/>
      <c r="I28" s="249"/>
      <c r="J28" s="249"/>
      <c r="K28" s="249"/>
      <c r="L28" s="249"/>
      <c r="M28" s="249"/>
      <c r="N28" s="249"/>
      <c r="O28" s="249"/>
      <c r="P28" s="247">
        <f>'III rok'!O49</f>
        <v>0</v>
      </c>
      <c r="Q28" s="248">
        <f>'III rok'!P49</f>
        <v>15</v>
      </c>
      <c r="R28" s="249">
        <f>'III rok'!Q49</f>
        <v>10</v>
      </c>
      <c r="S28" s="249"/>
      <c r="T28" s="249"/>
      <c r="U28" s="249"/>
      <c r="V28" s="249"/>
      <c r="W28" s="249"/>
      <c r="X28" s="249"/>
      <c r="Y28" s="247">
        <f>'III rok'!X49</f>
        <v>1</v>
      </c>
      <c r="Z28" s="248">
        <f>'III rok'!Y49</f>
        <v>15</v>
      </c>
      <c r="AA28" s="249">
        <f>'III rok'!Z49</f>
        <v>15</v>
      </c>
      <c r="AB28" s="249"/>
      <c r="AC28" s="249"/>
      <c r="AD28" s="249"/>
      <c r="AE28" s="249">
        <f>'III rok'!AD49</f>
        <v>25</v>
      </c>
      <c r="AF28" s="249">
        <f>'III rok'!AE49</f>
        <v>1</v>
      </c>
    </row>
    <row r="29" spans="1:32" ht="24.75" customHeight="1">
      <c r="A29" s="721"/>
      <c r="B29" s="249" t="s">
        <v>152</v>
      </c>
      <c r="C29" s="243" t="str">
        <f>'III rok'!B50</f>
        <v>Specyfika narządowa raportów patomorfologicznych nowotworów</v>
      </c>
      <c r="D29" s="244" t="str">
        <f>'III rok'!C50</f>
        <v>0912-7LEK-F-21-S</v>
      </c>
      <c r="E29" s="245"/>
      <c r="F29" s="246">
        <f>'III rok'!E50</f>
        <v>6</v>
      </c>
      <c r="G29" s="247"/>
      <c r="H29" s="248"/>
      <c r="I29" s="249"/>
      <c r="J29" s="249"/>
      <c r="K29" s="249"/>
      <c r="L29" s="249"/>
      <c r="M29" s="249"/>
      <c r="N29" s="249"/>
      <c r="O29" s="249"/>
      <c r="P29" s="247">
        <f>'III rok'!O50</f>
        <v>0</v>
      </c>
      <c r="Q29" s="248">
        <f>'III rok'!P50</f>
        <v>15</v>
      </c>
      <c r="R29" s="249">
        <f>'III rok'!Q50</f>
        <v>10</v>
      </c>
      <c r="S29" s="249"/>
      <c r="T29" s="249"/>
      <c r="U29" s="249"/>
      <c r="V29" s="249"/>
      <c r="W29" s="249"/>
      <c r="X29" s="249"/>
      <c r="Y29" s="247">
        <f>'III rok'!X50</f>
        <v>1</v>
      </c>
      <c r="Z29" s="248">
        <f>'III rok'!Y50</f>
        <v>15</v>
      </c>
      <c r="AA29" s="249">
        <f>'III rok'!Z50</f>
        <v>15</v>
      </c>
      <c r="AB29" s="249"/>
      <c r="AC29" s="249"/>
      <c r="AD29" s="249"/>
      <c r="AE29" s="249">
        <f>'III rok'!AD50</f>
        <v>25</v>
      </c>
      <c r="AF29" s="249">
        <f>'III rok'!AE50</f>
        <v>1</v>
      </c>
    </row>
    <row r="30" spans="1:32" ht="24.75" customHeight="1">
      <c r="A30" s="721"/>
      <c r="B30" s="249" t="s">
        <v>153</v>
      </c>
      <c r="C30" s="243" t="str">
        <f>'III rok'!B51</f>
        <v>Patofizjologia układu endokrynnego</v>
      </c>
      <c r="D30" s="244" t="str">
        <f>'III rok'!C51</f>
        <v>0912-7LEK-F-22-PUE</v>
      </c>
      <c r="E30" s="245"/>
      <c r="F30" s="246">
        <f>'III rok'!E51</f>
        <v>6</v>
      </c>
      <c r="G30" s="247"/>
      <c r="H30" s="248"/>
      <c r="I30" s="249"/>
      <c r="J30" s="249"/>
      <c r="K30" s="249"/>
      <c r="L30" s="249"/>
      <c r="M30" s="249"/>
      <c r="N30" s="249"/>
      <c r="O30" s="249"/>
      <c r="P30" s="247">
        <f>'III rok'!O51</f>
        <v>0</v>
      </c>
      <c r="Q30" s="248">
        <f>'III rok'!P51</f>
        <v>15</v>
      </c>
      <c r="R30" s="249">
        <f>'III rok'!Q51</f>
        <v>10</v>
      </c>
      <c r="S30" s="249"/>
      <c r="T30" s="249"/>
      <c r="U30" s="249"/>
      <c r="V30" s="249"/>
      <c r="W30" s="249"/>
      <c r="X30" s="249"/>
      <c r="Y30" s="247">
        <f>'III rok'!X51</f>
        <v>1</v>
      </c>
      <c r="Z30" s="248">
        <f>'III rok'!Y51</f>
        <v>15</v>
      </c>
      <c r="AA30" s="249">
        <f>'III rok'!Z51</f>
        <v>15</v>
      </c>
      <c r="AB30" s="249"/>
      <c r="AC30" s="249"/>
      <c r="AD30" s="249"/>
      <c r="AE30" s="249">
        <f>'III rok'!AD51</f>
        <v>25</v>
      </c>
      <c r="AF30" s="249">
        <f>'III rok'!AE51</f>
        <v>1</v>
      </c>
    </row>
    <row r="31" spans="1:32" ht="24.75" customHeight="1">
      <c r="A31" s="721" t="s">
        <v>149</v>
      </c>
      <c r="B31" s="718" t="str">
        <f>'IV rok'!A42</f>
        <v>* Zajęcia fakultatywne ( student wybiera z grupy 9 przedmiotów: 3przedmioty w 7 semestrze oraz 3 przedmioty w 8 semestrze)</v>
      </c>
      <c r="C31" s="722"/>
      <c r="D31" s="722"/>
      <c r="E31" s="722"/>
      <c r="F31" s="722"/>
      <c r="G31" s="722"/>
      <c r="H31" s="722"/>
      <c r="I31" s="722"/>
      <c r="J31" s="722"/>
      <c r="K31" s="722"/>
      <c r="L31" s="722"/>
      <c r="M31" s="722"/>
      <c r="N31" s="722"/>
      <c r="O31" s="722"/>
      <c r="P31" s="722"/>
      <c r="Q31" s="722"/>
      <c r="R31" s="722"/>
      <c r="S31" s="722"/>
      <c r="T31" s="722"/>
      <c r="U31" s="722"/>
      <c r="V31" s="722"/>
      <c r="W31" s="722"/>
      <c r="X31" s="722"/>
      <c r="Y31" s="722"/>
      <c r="Z31" s="722"/>
      <c r="AA31" s="722"/>
      <c r="AB31" s="722"/>
      <c r="AC31" s="722"/>
      <c r="AD31" s="722"/>
      <c r="AE31" s="722"/>
      <c r="AF31" s="723"/>
    </row>
    <row r="32" spans="1:32" ht="24.75" customHeight="1">
      <c r="A32" s="721"/>
      <c r="B32" s="249" t="s">
        <v>192</v>
      </c>
      <c r="C32" s="243" t="str">
        <f>'IV rok'!B43</f>
        <v>Dermatologia pediatryczna</v>
      </c>
      <c r="D32" s="244" t="str">
        <f>'IV rok'!C43</f>
        <v>0912-7LEK-F23-D</v>
      </c>
      <c r="E32" s="245"/>
      <c r="F32" s="246">
        <f>'IV rok'!E43</f>
        <v>7</v>
      </c>
      <c r="G32" s="247"/>
      <c r="H32" s="248">
        <f>'IV rok'!G43</f>
        <v>15</v>
      </c>
      <c r="I32" s="249">
        <f>'IV rok'!H43</f>
        <v>10</v>
      </c>
      <c r="J32" s="249"/>
      <c r="K32" s="249"/>
      <c r="L32" s="249"/>
      <c r="M32" s="249"/>
      <c r="N32" s="249"/>
      <c r="O32" s="249"/>
      <c r="P32" s="247">
        <f>'IV rok'!O43</f>
        <v>1</v>
      </c>
      <c r="Q32" s="248"/>
      <c r="R32" s="249"/>
      <c r="S32" s="249"/>
      <c r="T32" s="249"/>
      <c r="U32" s="249"/>
      <c r="V32" s="249"/>
      <c r="W32" s="249"/>
      <c r="X32" s="249"/>
      <c r="Y32" s="247"/>
      <c r="Z32" s="248">
        <f>'IV rok'!Y43</f>
        <v>15</v>
      </c>
      <c r="AA32" s="249">
        <f>'IV rok'!Z43</f>
        <v>15</v>
      </c>
      <c r="AB32" s="249"/>
      <c r="AC32" s="249"/>
      <c r="AD32" s="249"/>
      <c r="AE32" s="249">
        <f>'IV rok'!AD43</f>
        <v>25</v>
      </c>
      <c r="AF32" s="249">
        <f>'IV rok'!AE43</f>
        <v>1</v>
      </c>
    </row>
    <row r="33" spans="1:32" ht="24.75" customHeight="1">
      <c r="A33" s="721"/>
      <c r="B33" s="249" t="s">
        <v>193</v>
      </c>
      <c r="C33" s="243" t="str">
        <f>'IV rok'!B44</f>
        <v>Farmakoekonomika</v>
      </c>
      <c r="D33" s="244" t="str">
        <f>'IV rok'!C44</f>
        <v>0912-7LEK-F24-F</v>
      </c>
      <c r="E33" s="245"/>
      <c r="F33" s="246">
        <f>'IV rok'!E44</f>
        <v>7</v>
      </c>
      <c r="G33" s="247"/>
      <c r="H33" s="248">
        <f>'IV rok'!G44</f>
        <v>15</v>
      </c>
      <c r="I33" s="249">
        <f>'IV rok'!H44</f>
        <v>10</v>
      </c>
      <c r="J33" s="249"/>
      <c r="K33" s="249"/>
      <c r="L33" s="249"/>
      <c r="M33" s="249"/>
      <c r="N33" s="249"/>
      <c r="O33" s="249"/>
      <c r="P33" s="247">
        <f>'IV rok'!O44</f>
        <v>1</v>
      </c>
      <c r="Q33" s="248"/>
      <c r="R33" s="249"/>
      <c r="S33" s="249"/>
      <c r="T33" s="249"/>
      <c r="U33" s="249"/>
      <c r="V33" s="249"/>
      <c r="W33" s="249"/>
      <c r="X33" s="249"/>
      <c r="Y33" s="247"/>
      <c r="Z33" s="248">
        <f>'IV rok'!Y44</f>
        <v>15</v>
      </c>
      <c r="AA33" s="249">
        <f>'IV rok'!Z44</f>
        <v>15</v>
      </c>
      <c r="AB33" s="249"/>
      <c r="AC33" s="249"/>
      <c r="AD33" s="249"/>
      <c r="AE33" s="249">
        <f>'IV rok'!AD44</f>
        <v>25</v>
      </c>
      <c r="AF33" s="249">
        <f>'IV rok'!AE44</f>
        <v>1</v>
      </c>
    </row>
    <row r="34" spans="1:32" ht="24.75" customHeight="1">
      <c r="A34" s="721"/>
      <c r="B34" s="249" t="s">
        <v>194</v>
      </c>
      <c r="C34" s="243" t="str">
        <f>'IV rok'!B46</f>
        <v>Zakażenia wirusami przenoszonymi drogą krwi</v>
      </c>
      <c r="D34" s="244" t="str">
        <f>'IV rok'!C46</f>
        <v>0912-7LEK-F26-Z</v>
      </c>
      <c r="E34" s="245"/>
      <c r="F34" s="246">
        <f>'IV rok'!E46</f>
        <v>7</v>
      </c>
      <c r="G34" s="247"/>
      <c r="H34" s="248">
        <f>'IV rok'!G46</f>
        <v>15</v>
      </c>
      <c r="I34" s="249">
        <f>'IV rok'!H46</f>
        <v>10</v>
      </c>
      <c r="J34" s="249"/>
      <c r="K34" s="249"/>
      <c r="L34" s="249"/>
      <c r="M34" s="249"/>
      <c r="N34" s="249"/>
      <c r="O34" s="249"/>
      <c r="P34" s="247">
        <f>'IV rok'!O46</f>
        <v>1</v>
      </c>
      <c r="Q34" s="248"/>
      <c r="R34" s="249"/>
      <c r="S34" s="249"/>
      <c r="T34" s="249"/>
      <c r="U34" s="249"/>
      <c r="V34" s="249"/>
      <c r="W34" s="249"/>
      <c r="X34" s="249"/>
      <c r="Y34" s="247"/>
      <c r="Z34" s="248">
        <f>'IV rok'!Y46</f>
        <v>15</v>
      </c>
      <c r="AA34" s="249">
        <f>'IV rok'!Z46</f>
        <v>15</v>
      </c>
      <c r="AB34" s="249"/>
      <c r="AC34" s="249"/>
      <c r="AD34" s="249"/>
      <c r="AE34" s="249">
        <f>'IV rok'!AD46</f>
        <v>25</v>
      </c>
      <c r="AF34" s="249">
        <f>'IV rok'!AE46</f>
        <v>1</v>
      </c>
    </row>
    <row r="35" spans="1:32" ht="24.75" customHeight="1">
      <c r="A35" s="721"/>
      <c r="B35" s="249" t="s">
        <v>195</v>
      </c>
      <c r="C35" s="243" t="str">
        <f>'IV rok'!B47</f>
        <v>Chirurgia endoskopowa i laparoskopowa</v>
      </c>
      <c r="D35" s="244" t="str">
        <f>'IV rok'!C47</f>
        <v>0912-7LEK-F27-C</v>
      </c>
      <c r="E35" s="245"/>
      <c r="F35" s="246">
        <f>'IV rok'!E47</f>
        <v>8</v>
      </c>
      <c r="G35" s="247"/>
      <c r="H35" s="248"/>
      <c r="I35" s="249"/>
      <c r="J35" s="249"/>
      <c r="K35" s="249"/>
      <c r="L35" s="249"/>
      <c r="M35" s="249"/>
      <c r="N35" s="249"/>
      <c r="O35" s="249"/>
      <c r="P35" s="247"/>
      <c r="Q35" s="248">
        <f>'IV rok'!P47</f>
        <v>15</v>
      </c>
      <c r="R35" s="249">
        <f>'IV rok'!Q47</f>
        <v>10</v>
      </c>
      <c r="S35" s="249"/>
      <c r="T35" s="249"/>
      <c r="U35" s="249"/>
      <c r="V35" s="249"/>
      <c r="W35" s="249"/>
      <c r="X35" s="249"/>
      <c r="Y35" s="247">
        <f>'IV rok'!X47</f>
        <v>0</v>
      </c>
      <c r="Z35" s="248">
        <f>'IV rok'!Y47</f>
        <v>15</v>
      </c>
      <c r="AA35" s="249">
        <f>'IV rok'!Z47</f>
        <v>15</v>
      </c>
      <c r="AB35" s="249"/>
      <c r="AC35" s="249"/>
      <c r="AD35" s="249"/>
      <c r="AE35" s="249">
        <f>'IV rok'!AD47</f>
        <v>25</v>
      </c>
      <c r="AF35" s="249">
        <f>'IV rok'!AE47</f>
        <v>0</v>
      </c>
    </row>
    <row r="36" spans="1:32" ht="24.75" customHeight="1">
      <c r="A36" s="721"/>
      <c r="B36" s="249" t="s">
        <v>209</v>
      </c>
      <c r="C36" s="243" t="str">
        <f>'IV rok'!B48</f>
        <v>Pediatria - kardiologia dziecięca</v>
      </c>
      <c r="D36" s="244" t="str">
        <f>'IV rok'!C48</f>
        <v>0912-7LEK-F28-P</v>
      </c>
      <c r="E36" s="245"/>
      <c r="F36" s="246">
        <f>'IV rok'!E48</f>
        <v>8</v>
      </c>
      <c r="G36" s="247"/>
      <c r="H36" s="248"/>
      <c r="I36" s="249"/>
      <c r="J36" s="249"/>
      <c r="K36" s="249"/>
      <c r="L36" s="249"/>
      <c r="M36" s="249"/>
      <c r="N36" s="249"/>
      <c r="O36" s="249"/>
      <c r="P36" s="247"/>
      <c r="Q36" s="248">
        <f>'IV rok'!P48</f>
        <v>15</v>
      </c>
      <c r="R36" s="249">
        <f>'IV rok'!Q48</f>
        <v>10</v>
      </c>
      <c r="S36" s="249"/>
      <c r="T36" s="249"/>
      <c r="U36" s="249"/>
      <c r="V36" s="249"/>
      <c r="W36" s="249"/>
      <c r="X36" s="249"/>
      <c r="Y36" s="247">
        <f>'IV rok'!X48</f>
        <v>1</v>
      </c>
      <c r="Z36" s="248">
        <f>'IV rok'!Y48</f>
        <v>15</v>
      </c>
      <c r="AA36" s="249">
        <f>'IV rok'!Z48</f>
        <v>15</v>
      </c>
      <c r="AB36" s="249"/>
      <c r="AC36" s="249"/>
      <c r="AD36" s="249"/>
      <c r="AE36" s="249">
        <f>'IV rok'!AD48</f>
        <v>25</v>
      </c>
      <c r="AF36" s="249">
        <f>'IV rok'!AE48</f>
        <v>1</v>
      </c>
    </row>
    <row r="37" spans="1:32" ht="24.75" customHeight="1">
      <c r="A37" s="721"/>
      <c r="B37" s="249" t="s">
        <v>210</v>
      </c>
      <c r="C37" s="358" t="str">
        <f>'IV rok'!B49</f>
        <v>Terapia bólu</v>
      </c>
      <c r="D37" s="244" t="str">
        <f>'IV rok'!C49</f>
        <v>0912-7LEK-F29-T</v>
      </c>
      <c r="E37" s="245"/>
      <c r="F37" s="246">
        <f>'IV rok'!E49</f>
        <v>8</v>
      </c>
      <c r="G37" s="247"/>
      <c r="H37" s="248"/>
      <c r="I37" s="249"/>
      <c r="J37" s="249"/>
      <c r="K37" s="249"/>
      <c r="L37" s="249"/>
      <c r="M37" s="249"/>
      <c r="N37" s="249"/>
      <c r="O37" s="249"/>
      <c r="P37" s="247"/>
      <c r="Q37" s="248">
        <f>'IV rok'!P49</f>
        <v>15</v>
      </c>
      <c r="R37" s="249">
        <f>'IV rok'!Q49</f>
        <v>10</v>
      </c>
      <c r="S37" s="249"/>
      <c r="T37" s="249"/>
      <c r="U37" s="249"/>
      <c r="V37" s="249"/>
      <c r="W37" s="249"/>
      <c r="X37" s="249"/>
      <c r="Y37" s="247">
        <f>'IV rok'!X49</f>
        <v>1</v>
      </c>
      <c r="Z37" s="248">
        <f>'IV rok'!Y49</f>
        <v>15</v>
      </c>
      <c r="AA37" s="249">
        <f>'IV rok'!Z49</f>
        <v>15</v>
      </c>
      <c r="AB37" s="249"/>
      <c r="AC37" s="249"/>
      <c r="AD37" s="249"/>
      <c r="AE37" s="249">
        <f>'IV rok'!AD49</f>
        <v>25</v>
      </c>
      <c r="AF37" s="249">
        <f>'IV rok'!AE49</f>
        <v>1</v>
      </c>
    </row>
    <row r="38" spans="1:32" ht="24.75" customHeight="1">
      <c r="A38" s="721"/>
      <c r="B38" s="249" t="s">
        <v>211</v>
      </c>
      <c r="C38" s="243" t="str">
        <f>'IV rok'!B50</f>
        <v>Choroby płuc</v>
      </c>
      <c r="D38" s="244" t="str">
        <f>'IV rok'!C50</f>
        <v>0912-7LEK-F30-C</v>
      </c>
      <c r="E38" s="245"/>
      <c r="F38" s="246">
        <f>'IV rok'!E50</f>
        <v>8</v>
      </c>
      <c r="G38" s="247"/>
      <c r="H38" s="248"/>
      <c r="I38" s="249"/>
      <c r="J38" s="249"/>
      <c r="K38" s="249"/>
      <c r="L38" s="249"/>
      <c r="M38" s="249"/>
      <c r="N38" s="249"/>
      <c r="O38" s="249"/>
      <c r="P38" s="247"/>
      <c r="Q38" s="248">
        <f>'IV rok'!P50</f>
        <v>15</v>
      </c>
      <c r="R38" s="249">
        <f>'IV rok'!Q50</f>
        <v>10</v>
      </c>
      <c r="S38" s="249"/>
      <c r="T38" s="249"/>
      <c r="U38" s="249"/>
      <c r="V38" s="249"/>
      <c r="W38" s="249"/>
      <c r="X38" s="249"/>
      <c r="Y38" s="247">
        <f>'IV rok'!X50</f>
        <v>1</v>
      </c>
      <c r="Z38" s="248">
        <f>'IV rok'!Y50</f>
        <v>15</v>
      </c>
      <c r="AA38" s="249">
        <f>'IV rok'!Z50</f>
        <v>15</v>
      </c>
      <c r="AB38" s="249"/>
      <c r="AC38" s="249"/>
      <c r="AD38" s="249"/>
      <c r="AE38" s="249">
        <f>'IV rok'!AD50</f>
        <v>25</v>
      </c>
      <c r="AF38" s="249">
        <f>'IV rok'!AE50</f>
        <v>1</v>
      </c>
    </row>
    <row r="39" spans="1:32" ht="24.75" customHeight="1">
      <c r="A39" s="721"/>
      <c r="B39" s="249" t="s">
        <v>212</v>
      </c>
      <c r="C39" s="243" t="str">
        <f>'IV rok'!B51</f>
        <v>Chirurgia naczyniowa</v>
      </c>
      <c r="D39" s="244" t="str">
        <f>'IV rok'!C51</f>
        <v>0912-7LEK-F31-C</v>
      </c>
      <c r="E39" s="245"/>
      <c r="F39" s="246">
        <f>'IV rok'!E51</f>
        <v>8</v>
      </c>
      <c r="G39" s="247"/>
      <c r="H39" s="248"/>
      <c r="I39" s="249"/>
      <c r="J39" s="249"/>
      <c r="K39" s="249"/>
      <c r="L39" s="249"/>
      <c r="M39" s="249"/>
      <c r="N39" s="249"/>
      <c r="O39" s="249"/>
      <c r="P39" s="247"/>
      <c r="Q39" s="248">
        <f>'IV rok'!P51</f>
        <v>15</v>
      </c>
      <c r="R39" s="249">
        <f>'IV rok'!Q51</f>
        <v>10</v>
      </c>
      <c r="S39" s="249"/>
      <c r="T39" s="249"/>
      <c r="U39" s="249"/>
      <c r="V39" s="249"/>
      <c r="W39" s="249"/>
      <c r="X39" s="249"/>
      <c r="Y39" s="247">
        <f>'IV rok'!X51</f>
        <v>1</v>
      </c>
      <c r="Z39" s="248">
        <f>'IV rok'!Y51</f>
        <v>15</v>
      </c>
      <c r="AA39" s="249">
        <f>'IV rok'!Z51</f>
        <v>15</v>
      </c>
      <c r="AB39" s="249"/>
      <c r="AC39" s="249"/>
      <c r="AD39" s="249"/>
      <c r="AE39" s="249">
        <f>'IV rok'!AD51</f>
        <v>25</v>
      </c>
      <c r="AF39" s="249">
        <f>'IV rok'!AE51</f>
        <v>1</v>
      </c>
    </row>
    <row r="40" spans="1:32" ht="24.75" customHeight="1">
      <c r="A40" s="721"/>
      <c r="B40" s="249" t="s">
        <v>254</v>
      </c>
      <c r="C40" s="358" t="e">
        <f>'IV rok'!#REF!</f>
        <v>#REF!</v>
      </c>
      <c r="D40" s="244" t="e">
        <f>'IV rok'!#REF!</f>
        <v>#REF!</v>
      </c>
      <c r="E40" s="245"/>
      <c r="F40" s="246" t="e">
        <f>'IV rok'!#REF!</f>
        <v>#REF!</v>
      </c>
      <c r="G40" s="247"/>
      <c r="H40" s="248"/>
      <c r="I40" s="249"/>
      <c r="J40" s="249"/>
      <c r="K40" s="249"/>
      <c r="L40" s="249"/>
      <c r="M40" s="249"/>
      <c r="N40" s="249"/>
      <c r="O40" s="249"/>
      <c r="P40" s="247"/>
      <c r="Q40" s="248" t="e">
        <f>'IV rok'!#REF!</f>
        <v>#REF!</v>
      </c>
      <c r="R40" s="249" t="e">
        <f>'IV rok'!#REF!</f>
        <v>#REF!</v>
      </c>
      <c r="S40" s="249"/>
      <c r="T40" s="249"/>
      <c r="U40" s="249"/>
      <c r="V40" s="249"/>
      <c r="W40" s="249"/>
      <c r="X40" s="249"/>
      <c r="Y40" s="247" t="e">
        <f>'IV rok'!#REF!</f>
        <v>#REF!</v>
      </c>
      <c r="Z40" s="248" t="e">
        <f>'IV rok'!#REF!</f>
        <v>#REF!</v>
      </c>
      <c r="AA40" s="249" t="e">
        <f>'IV rok'!#REF!</f>
        <v>#REF!</v>
      </c>
      <c r="AB40" s="249"/>
      <c r="AC40" s="249"/>
      <c r="AD40" s="249"/>
      <c r="AE40" s="249" t="e">
        <f>'IV rok'!#REF!</f>
        <v>#REF!</v>
      </c>
      <c r="AF40" s="249" t="e">
        <f>'IV rok'!#REF!</f>
        <v>#REF!</v>
      </c>
    </row>
    <row r="41" spans="1:32" ht="24.75" customHeight="1">
      <c r="A41" s="715" t="s">
        <v>162</v>
      </c>
      <c r="B41" s="757" t="str">
        <f>'V rok'!A51</f>
        <v>* Zajęcia fakultatywne (student wybiera z grupy 20 przedmiotów: 2 przedmioty w 9 semestrze oraz 1 przedmiot w 10 semestrze )</v>
      </c>
      <c r="C41" s="719"/>
      <c r="D41" s="719"/>
      <c r="E41" s="719"/>
      <c r="F41" s="719"/>
      <c r="G41" s="719"/>
      <c r="H41" s="719"/>
      <c r="I41" s="719"/>
      <c r="J41" s="719"/>
      <c r="K41" s="719"/>
      <c r="L41" s="719"/>
      <c r="M41" s="719"/>
      <c r="N41" s="719"/>
      <c r="O41" s="719"/>
      <c r="P41" s="719"/>
      <c r="Q41" s="719"/>
      <c r="R41" s="719"/>
      <c r="S41" s="719"/>
      <c r="T41" s="719"/>
      <c r="U41" s="719"/>
      <c r="V41" s="719"/>
      <c r="W41" s="719"/>
      <c r="X41" s="719"/>
      <c r="Y41" s="719"/>
      <c r="Z41" s="719"/>
      <c r="AA41" s="719"/>
      <c r="AB41" s="719"/>
      <c r="AC41" s="719"/>
      <c r="AD41" s="719"/>
      <c r="AE41" s="719"/>
      <c r="AF41" s="720"/>
    </row>
    <row r="42" spans="1:32" ht="24.75" customHeight="1">
      <c r="A42" s="717"/>
      <c r="B42" s="249" t="s">
        <v>213</v>
      </c>
      <c r="C42" s="358" t="str">
        <f>'V rok'!B52</f>
        <v>Hipertensjologia</v>
      </c>
      <c r="D42" s="244" t="str">
        <f>'V rok'!C52</f>
        <v>0912-7LEK-F32-H</v>
      </c>
      <c r="E42" s="245"/>
      <c r="F42" s="246">
        <f>'V rok'!E52</f>
        <v>9</v>
      </c>
      <c r="G42" s="247"/>
      <c r="H42" s="248">
        <f>'V rok'!G52</f>
        <v>10</v>
      </c>
      <c r="I42" s="249">
        <f>'V rok'!H52</f>
        <v>15</v>
      </c>
      <c r="J42" s="249">
        <f>'V rok'!I52</f>
        <v>15</v>
      </c>
      <c r="K42" s="249">
        <f>'V rok'!J52</f>
        <v>10</v>
      </c>
      <c r="L42" s="249"/>
      <c r="M42" s="249"/>
      <c r="N42" s="249"/>
      <c r="O42" s="249"/>
      <c r="P42" s="247">
        <f>'V rok'!O52</f>
        <v>2</v>
      </c>
      <c r="Q42" s="248"/>
      <c r="R42" s="249"/>
      <c r="S42" s="249"/>
      <c r="T42" s="249"/>
      <c r="U42" s="249"/>
      <c r="V42" s="249"/>
      <c r="W42" s="249"/>
      <c r="X42" s="249"/>
      <c r="Y42" s="247"/>
      <c r="Z42" s="248">
        <f>'V rok'!Y52</f>
        <v>25</v>
      </c>
      <c r="AA42" s="249">
        <f>'V rok'!Z52</f>
        <v>10</v>
      </c>
      <c r="AB42" s="249">
        <f>'V rok'!AA52</f>
        <v>15</v>
      </c>
      <c r="AC42" s="249"/>
      <c r="AD42" s="249"/>
      <c r="AE42" s="249">
        <f>'V rok'!AD52</f>
        <v>50</v>
      </c>
      <c r="AF42" s="249">
        <f>'V rok'!AE52</f>
        <v>2</v>
      </c>
    </row>
    <row r="43" spans="1:32" ht="24.75" customHeight="1">
      <c r="A43" s="717"/>
      <c r="B43" s="249" t="s">
        <v>214</v>
      </c>
      <c r="C43" s="243" t="str">
        <f>'V rok'!B53</f>
        <v>Gastroenterologia dziecięca</v>
      </c>
      <c r="D43" s="244" t="str">
        <f>'V rok'!C53</f>
        <v>0912-7LEK-F33-G</v>
      </c>
      <c r="E43" s="245"/>
      <c r="F43" s="246">
        <f>'V rok'!E53</f>
        <v>9</v>
      </c>
      <c r="G43" s="247"/>
      <c r="H43" s="248">
        <f>'V rok'!G53</f>
        <v>10</v>
      </c>
      <c r="I43" s="249">
        <f>'V rok'!H53</f>
        <v>15</v>
      </c>
      <c r="J43" s="249">
        <f>'V rok'!I53</f>
        <v>15</v>
      </c>
      <c r="K43" s="249">
        <f>'V rok'!J53</f>
        <v>10</v>
      </c>
      <c r="L43" s="249"/>
      <c r="M43" s="249"/>
      <c r="N43" s="249"/>
      <c r="O43" s="249"/>
      <c r="P43" s="247">
        <f>'V rok'!O53</f>
        <v>2</v>
      </c>
      <c r="Q43" s="248"/>
      <c r="R43" s="249"/>
      <c r="S43" s="249"/>
      <c r="T43" s="249"/>
      <c r="U43" s="249"/>
      <c r="V43" s="249"/>
      <c r="W43" s="249"/>
      <c r="X43" s="249"/>
      <c r="Y43" s="247"/>
      <c r="Z43" s="248">
        <f>'V rok'!Y53</f>
        <v>25</v>
      </c>
      <c r="AA43" s="249">
        <f>'V rok'!Z53</f>
        <v>10</v>
      </c>
      <c r="AB43" s="249">
        <f>'V rok'!AA53</f>
        <v>15</v>
      </c>
      <c r="AC43" s="249"/>
      <c r="AD43" s="249"/>
      <c r="AE43" s="249">
        <f>'V rok'!AD53</f>
        <v>50</v>
      </c>
      <c r="AF43" s="249">
        <f>'V rok'!AE53</f>
        <v>2</v>
      </c>
    </row>
    <row r="44" spans="1:32" ht="24.75" customHeight="1">
      <c r="A44" s="717"/>
      <c r="B44" s="249" t="s">
        <v>215</v>
      </c>
      <c r="C44" s="358" t="str">
        <f>'V rok'!B54</f>
        <v>Alergologia</v>
      </c>
      <c r="D44" s="244" t="str">
        <f>'V rok'!C54</f>
        <v>0912-7LEK-F34-A</v>
      </c>
      <c r="E44" s="245"/>
      <c r="F44" s="246">
        <f>'V rok'!E54</f>
        <v>9</v>
      </c>
      <c r="G44" s="247"/>
      <c r="H44" s="248">
        <f>'V rok'!G54</f>
        <v>10</v>
      </c>
      <c r="I44" s="249">
        <f>'V rok'!H54</f>
        <v>15</v>
      </c>
      <c r="J44" s="249">
        <f>'V rok'!I54</f>
        <v>15</v>
      </c>
      <c r="K44" s="249">
        <f>'V rok'!J54</f>
        <v>10</v>
      </c>
      <c r="L44" s="249"/>
      <c r="M44" s="249"/>
      <c r="N44" s="249"/>
      <c r="O44" s="249"/>
      <c r="P44" s="247">
        <f>'V rok'!O54</f>
        <v>2</v>
      </c>
      <c r="Q44" s="248"/>
      <c r="R44" s="249"/>
      <c r="S44" s="249"/>
      <c r="T44" s="249"/>
      <c r="U44" s="249"/>
      <c r="V44" s="249"/>
      <c r="W44" s="249"/>
      <c r="X44" s="249"/>
      <c r="Y44" s="247"/>
      <c r="Z44" s="248">
        <f>'V rok'!Y54</f>
        <v>25</v>
      </c>
      <c r="AA44" s="249">
        <f>'V rok'!Z54</f>
        <v>10</v>
      </c>
      <c r="AB44" s="249">
        <f>'V rok'!AA54</f>
        <v>15</v>
      </c>
      <c r="AC44" s="249"/>
      <c r="AD44" s="249"/>
      <c r="AE44" s="249">
        <f>'V rok'!AD54</f>
        <v>50</v>
      </c>
      <c r="AF44" s="249">
        <f>'V rok'!AE54</f>
        <v>2</v>
      </c>
    </row>
    <row r="45" spans="1:32" ht="24.75" customHeight="1">
      <c r="A45" s="717"/>
      <c r="B45" s="249" t="s">
        <v>216</v>
      </c>
      <c r="C45" s="243" t="str">
        <f>'V rok'!B55</f>
        <v>Kardiologia interwencyjna</v>
      </c>
      <c r="D45" s="244" t="str">
        <f>'V rok'!C55</f>
        <v>0912-7LEK-F35-K</v>
      </c>
      <c r="E45" s="245"/>
      <c r="F45" s="246">
        <f>'V rok'!E55</f>
        <v>9</v>
      </c>
      <c r="G45" s="247"/>
      <c r="H45" s="248">
        <f>'V rok'!G55</f>
        <v>10</v>
      </c>
      <c r="I45" s="249">
        <f>'V rok'!H55</f>
        <v>15</v>
      </c>
      <c r="J45" s="249">
        <f>'V rok'!I55</f>
        <v>15</v>
      </c>
      <c r="K45" s="249">
        <f>'V rok'!J55</f>
        <v>10</v>
      </c>
      <c r="L45" s="249"/>
      <c r="M45" s="249"/>
      <c r="N45" s="249"/>
      <c r="O45" s="249"/>
      <c r="P45" s="247">
        <f>'V rok'!O55</f>
        <v>2</v>
      </c>
      <c r="Q45" s="248"/>
      <c r="R45" s="249"/>
      <c r="S45" s="249"/>
      <c r="T45" s="249"/>
      <c r="U45" s="249"/>
      <c r="V45" s="249"/>
      <c r="W45" s="249"/>
      <c r="X45" s="249"/>
      <c r="Y45" s="247"/>
      <c r="Z45" s="248">
        <f>'V rok'!Y55</f>
        <v>25</v>
      </c>
      <c r="AA45" s="249">
        <f>'V rok'!Z55</f>
        <v>10</v>
      </c>
      <c r="AB45" s="249">
        <f>'V rok'!AA55</f>
        <v>15</v>
      </c>
      <c r="AC45" s="249"/>
      <c r="AD45" s="249"/>
      <c r="AE45" s="249">
        <f>'V rok'!AD55</f>
        <v>50</v>
      </c>
      <c r="AF45" s="249">
        <f>'V rok'!AE55</f>
        <v>2</v>
      </c>
    </row>
    <row r="46" spans="1:32" ht="24.75" customHeight="1">
      <c r="A46" s="717"/>
      <c r="B46" s="249" t="s">
        <v>217</v>
      </c>
      <c r="C46" s="243" t="str">
        <f>'V rok'!B56</f>
        <v>Żywienie kliniczne</v>
      </c>
      <c r="D46" s="244" t="str">
        <f>'V rok'!C56</f>
        <v>0912-7LEK-F36-Ż</v>
      </c>
      <c r="E46" s="245"/>
      <c r="F46" s="246">
        <f>'V rok'!E56</f>
        <v>9</v>
      </c>
      <c r="G46" s="247"/>
      <c r="H46" s="248">
        <f>'V rok'!G56</f>
        <v>10</v>
      </c>
      <c r="I46" s="249">
        <f>'V rok'!H56</f>
        <v>15</v>
      </c>
      <c r="J46" s="249">
        <f>'V rok'!I56</f>
        <v>15</v>
      </c>
      <c r="K46" s="249">
        <f>'V rok'!J56</f>
        <v>10</v>
      </c>
      <c r="L46" s="249"/>
      <c r="M46" s="249"/>
      <c r="N46" s="249"/>
      <c r="O46" s="249"/>
      <c r="P46" s="247">
        <f>'V rok'!O56</f>
        <v>2</v>
      </c>
      <c r="Q46" s="248"/>
      <c r="R46" s="249"/>
      <c r="S46" s="249"/>
      <c r="T46" s="249"/>
      <c r="U46" s="249"/>
      <c r="V46" s="249"/>
      <c r="W46" s="249"/>
      <c r="X46" s="249"/>
      <c r="Y46" s="247"/>
      <c r="Z46" s="248">
        <f>'V rok'!Y56</f>
        <v>25</v>
      </c>
      <c r="AA46" s="249">
        <f>'V rok'!Z56</f>
        <v>10</v>
      </c>
      <c r="AB46" s="249">
        <f>'V rok'!AA56</f>
        <v>15</v>
      </c>
      <c r="AC46" s="249"/>
      <c r="AD46" s="249"/>
      <c r="AE46" s="249">
        <f>'V rok'!AD56</f>
        <v>50</v>
      </c>
      <c r="AF46" s="249">
        <f>'V rok'!AE56</f>
        <v>2</v>
      </c>
    </row>
    <row r="47" spans="1:32" ht="24.75" customHeight="1">
      <c r="A47" s="717"/>
      <c r="B47" s="249" t="s">
        <v>218</v>
      </c>
      <c r="C47" s="243" t="str">
        <f>'V rok'!B57</f>
        <v>Anastezjologia i intensywna terapia dziecięca</v>
      </c>
      <c r="D47" s="244" t="str">
        <f>'V rok'!C57</f>
        <v>0912-7LEK-F37-A</v>
      </c>
      <c r="E47" s="245"/>
      <c r="F47" s="246">
        <f>'V rok'!E57</f>
        <v>9</v>
      </c>
      <c r="G47" s="247"/>
      <c r="H47" s="248">
        <f>'V rok'!G57</f>
        <v>10</v>
      </c>
      <c r="I47" s="249">
        <f>'V rok'!H57</f>
        <v>15</v>
      </c>
      <c r="J47" s="249">
        <f>'V rok'!I57</f>
        <v>15</v>
      </c>
      <c r="K47" s="249">
        <f>'V rok'!J57</f>
        <v>10</v>
      </c>
      <c r="L47" s="249"/>
      <c r="M47" s="249"/>
      <c r="N47" s="249"/>
      <c r="O47" s="249"/>
      <c r="P47" s="247">
        <f>'V rok'!O57</f>
        <v>2</v>
      </c>
      <c r="Q47" s="248"/>
      <c r="R47" s="249"/>
      <c r="S47" s="249"/>
      <c r="T47" s="249"/>
      <c r="U47" s="249"/>
      <c r="V47" s="249"/>
      <c r="W47" s="249"/>
      <c r="X47" s="249"/>
      <c r="Y47" s="247"/>
      <c r="Z47" s="248">
        <f>'V rok'!Y57</f>
        <v>25</v>
      </c>
      <c r="AA47" s="249">
        <f>'V rok'!Z57</f>
        <v>10</v>
      </c>
      <c r="AB47" s="249">
        <f>'V rok'!AA57</f>
        <v>15</v>
      </c>
      <c r="AC47" s="249"/>
      <c r="AD47" s="249"/>
      <c r="AE47" s="249">
        <f>'V rok'!AD57</f>
        <v>50</v>
      </c>
      <c r="AF47" s="249">
        <f>'V rok'!AE57</f>
        <v>2</v>
      </c>
    </row>
    <row r="48" spans="1:32" ht="24.75" customHeight="1">
      <c r="A48" s="717"/>
      <c r="B48" s="249" t="s">
        <v>219</v>
      </c>
      <c r="C48" s="243" t="str">
        <f>'V rok'!B58</f>
        <v>Lecznie skojarzone</v>
      </c>
      <c r="D48" s="244" t="str">
        <f>'V rok'!C58</f>
        <v>0912-7LEK-F38-L</v>
      </c>
      <c r="E48" s="245"/>
      <c r="F48" s="246">
        <f>'V rok'!E58</f>
        <v>9</v>
      </c>
      <c r="G48" s="247"/>
      <c r="H48" s="248">
        <f>'V rok'!G58</f>
        <v>10</v>
      </c>
      <c r="I48" s="249">
        <f>'V rok'!H58</f>
        <v>15</v>
      </c>
      <c r="J48" s="249">
        <f>'V rok'!I58</f>
        <v>15</v>
      </c>
      <c r="K48" s="249">
        <f>'V rok'!J58</f>
        <v>10</v>
      </c>
      <c r="L48" s="249"/>
      <c r="M48" s="249"/>
      <c r="N48" s="249"/>
      <c r="O48" s="249"/>
      <c r="P48" s="247">
        <f>'V rok'!O58</f>
        <v>2</v>
      </c>
      <c r="Q48" s="248"/>
      <c r="R48" s="249"/>
      <c r="S48" s="249"/>
      <c r="T48" s="249"/>
      <c r="U48" s="249"/>
      <c r="V48" s="249"/>
      <c r="W48" s="249"/>
      <c r="X48" s="249"/>
      <c r="Y48" s="247"/>
      <c r="Z48" s="248">
        <f>'V rok'!Y58</f>
        <v>25</v>
      </c>
      <c r="AA48" s="249">
        <f>'V rok'!Z58</f>
        <v>10</v>
      </c>
      <c r="AB48" s="249">
        <f>'V rok'!AA58</f>
        <v>15</v>
      </c>
      <c r="AC48" s="249"/>
      <c r="AD48" s="249"/>
      <c r="AE48" s="249">
        <f>'V rok'!AD58</f>
        <v>50</v>
      </c>
      <c r="AF48" s="249">
        <f>'V rok'!AE58</f>
        <v>2</v>
      </c>
    </row>
    <row r="49" spans="1:32" ht="24.75" customHeight="1">
      <c r="A49" s="717"/>
      <c r="B49" s="249" t="s">
        <v>220</v>
      </c>
      <c r="C49" s="243" t="str">
        <f>'V rok'!B59</f>
        <v>Elektrokardiografia</v>
      </c>
      <c r="D49" s="244" t="str">
        <f>'V rok'!C59</f>
        <v>0912-7LEK-F39-E</v>
      </c>
      <c r="E49" s="245"/>
      <c r="F49" s="246">
        <f>'V rok'!E59</f>
        <v>9</v>
      </c>
      <c r="G49" s="247"/>
      <c r="H49" s="248">
        <f>'V rok'!G59</f>
        <v>10</v>
      </c>
      <c r="I49" s="249">
        <f>'V rok'!H59</f>
        <v>15</v>
      </c>
      <c r="J49" s="249">
        <f>'V rok'!I59</f>
        <v>15</v>
      </c>
      <c r="K49" s="249">
        <f>'V rok'!J59</f>
        <v>10</v>
      </c>
      <c r="L49" s="249"/>
      <c r="M49" s="249"/>
      <c r="N49" s="249"/>
      <c r="O49" s="249"/>
      <c r="P49" s="247">
        <f>'V rok'!O59</f>
        <v>2</v>
      </c>
      <c r="Q49" s="248"/>
      <c r="R49" s="249"/>
      <c r="S49" s="249"/>
      <c r="T49" s="249"/>
      <c r="U49" s="249"/>
      <c r="V49" s="249"/>
      <c r="W49" s="249"/>
      <c r="X49" s="249"/>
      <c r="Y49" s="247"/>
      <c r="Z49" s="248">
        <f>'V rok'!Y59</f>
        <v>25</v>
      </c>
      <c r="AA49" s="249">
        <f>'V rok'!Z59</f>
        <v>10</v>
      </c>
      <c r="AB49" s="249">
        <f>'V rok'!AA59</f>
        <v>15</v>
      </c>
      <c r="AC49" s="249"/>
      <c r="AD49" s="249"/>
      <c r="AE49" s="249">
        <f>'V rok'!AD59</f>
        <v>50</v>
      </c>
      <c r="AF49" s="249">
        <f>'V rok'!AE59</f>
        <v>2</v>
      </c>
    </row>
    <row r="50" spans="1:32" ht="24.75" customHeight="1">
      <c r="A50" s="717"/>
      <c r="B50" s="249" t="s">
        <v>221</v>
      </c>
      <c r="C50" s="243" t="str">
        <f>'V rok'!B60</f>
        <v>Traumatologia dziecięca</v>
      </c>
      <c r="D50" s="244" t="str">
        <f>'V rok'!C60</f>
        <v>0912-7LEK-F40-T</v>
      </c>
      <c r="E50" s="245"/>
      <c r="F50" s="246">
        <f>'V rok'!E60</f>
        <v>9</v>
      </c>
      <c r="G50" s="247"/>
      <c r="H50" s="248">
        <f>'V rok'!G60</f>
        <v>10</v>
      </c>
      <c r="I50" s="249">
        <f>'V rok'!H60</f>
        <v>15</v>
      </c>
      <c r="J50" s="249">
        <f>'V rok'!I60</f>
        <v>15</v>
      </c>
      <c r="K50" s="249">
        <f>'V rok'!J60</f>
        <v>10</v>
      </c>
      <c r="L50" s="249"/>
      <c r="M50" s="249"/>
      <c r="N50" s="249"/>
      <c r="O50" s="249"/>
      <c r="P50" s="247">
        <f>'V rok'!O60</f>
        <v>2</v>
      </c>
      <c r="Q50" s="248"/>
      <c r="R50" s="249"/>
      <c r="S50" s="249"/>
      <c r="T50" s="249"/>
      <c r="U50" s="249"/>
      <c r="V50" s="249"/>
      <c r="W50" s="249"/>
      <c r="X50" s="249"/>
      <c r="Y50" s="247"/>
      <c r="Z50" s="248">
        <f>'V rok'!Y60</f>
        <v>25</v>
      </c>
      <c r="AA50" s="249">
        <f>'V rok'!Z60</f>
        <v>10</v>
      </c>
      <c r="AB50" s="249">
        <f>'V rok'!AA60</f>
        <v>15</v>
      </c>
      <c r="AC50" s="249"/>
      <c r="AD50" s="249"/>
      <c r="AE50" s="249">
        <f>'V rok'!AD60</f>
        <v>50</v>
      </c>
      <c r="AF50" s="249">
        <f>'V rok'!AE60</f>
        <v>2</v>
      </c>
    </row>
    <row r="51" spans="1:32" ht="24.75" customHeight="1">
      <c r="A51" s="717"/>
      <c r="B51" s="249" t="s">
        <v>222</v>
      </c>
      <c r="C51" s="243" t="str">
        <f>'V rok'!B61</f>
        <v>Diagnostyka obrazowa w stanach nagłych</v>
      </c>
      <c r="D51" s="244" t="str">
        <f>'V rok'!C61</f>
        <v>0912-7LEK-F41-D</v>
      </c>
      <c r="E51" s="245"/>
      <c r="F51" s="246">
        <f>'V rok'!E61</f>
        <v>9</v>
      </c>
      <c r="G51" s="247"/>
      <c r="H51" s="248">
        <f>'V rok'!G61</f>
        <v>10</v>
      </c>
      <c r="I51" s="249">
        <f>'V rok'!H61</f>
        <v>15</v>
      </c>
      <c r="J51" s="249">
        <f>'V rok'!I61</f>
        <v>15</v>
      </c>
      <c r="K51" s="249">
        <f>'V rok'!J61</f>
        <v>10</v>
      </c>
      <c r="L51" s="249"/>
      <c r="M51" s="249"/>
      <c r="N51" s="249"/>
      <c r="O51" s="249"/>
      <c r="P51" s="247">
        <f>'V rok'!O61</f>
        <v>2</v>
      </c>
      <c r="Q51" s="248"/>
      <c r="R51" s="249"/>
      <c r="S51" s="249"/>
      <c r="T51" s="249"/>
      <c r="U51" s="249"/>
      <c r="V51" s="249"/>
      <c r="W51" s="249"/>
      <c r="X51" s="249"/>
      <c r="Y51" s="247"/>
      <c r="Z51" s="248">
        <f>'V rok'!Y61</f>
        <v>25</v>
      </c>
      <c r="AA51" s="249">
        <f>'V rok'!Z61</f>
        <v>10</v>
      </c>
      <c r="AB51" s="249">
        <f>'V rok'!AA61</f>
        <v>15</v>
      </c>
      <c r="AC51" s="249"/>
      <c r="AD51" s="249"/>
      <c r="AE51" s="249">
        <f>'V rok'!AD61</f>
        <v>50</v>
      </c>
      <c r="AF51" s="249">
        <f>'V rok'!AE61</f>
        <v>2</v>
      </c>
    </row>
    <row r="52" spans="1:32" ht="24.75" customHeight="1">
      <c r="A52" s="717"/>
      <c r="B52" s="249" t="s">
        <v>223</v>
      </c>
      <c r="C52" s="243" t="str">
        <f>'V rok'!B62</f>
        <v>Radioterapia</v>
      </c>
      <c r="D52" s="244" t="str">
        <f>'V rok'!C62</f>
        <v>0912-7LEK-F42-R</v>
      </c>
      <c r="E52" s="245"/>
      <c r="F52" s="246">
        <f>'V rok'!E62</f>
        <v>9</v>
      </c>
      <c r="G52" s="247"/>
      <c r="H52" s="248">
        <f>'V rok'!G62</f>
        <v>10</v>
      </c>
      <c r="I52" s="249">
        <f>'V rok'!H62</f>
        <v>15</v>
      </c>
      <c r="J52" s="249">
        <f>'V rok'!I62</f>
        <v>15</v>
      </c>
      <c r="K52" s="249">
        <f>'V rok'!J62</f>
        <v>10</v>
      </c>
      <c r="L52" s="249"/>
      <c r="M52" s="249"/>
      <c r="N52" s="249"/>
      <c r="O52" s="249"/>
      <c r="P52" s="247">
        <f>'V rok'!O62</f>
        <v>2</v>
      </c>
      <c r="Q52" s="248"/>
      <c r="R52" s="249"/>
      <c r="S52" s="249"/>
      <c r="T52" s="249"/>
      <c r="U52" s="249"/>
      <c r="V52" s="249"/>
      <c r="W52" s="249"/>
      <c r="X52" s="249"/>
      <c r="Y52" s="247"/>
      <c r="Z52" s="248">
        <f>'V rok'!Y62</f>
        <v>25</v>
      </c>
      <c r="AA52" s="249">
        <f>'V rok'!Z62</f>
        <v>10</v>
      </c>
      <c r="AB52" s="249">
        <f>'V rok'!AA62</f>
        <v>15</v>
      </c>
      <c r="AC52" s="249"/>
      <c r="AD52" s="249"/>
      <c r="AE52" s="249">
        <f>'V rok'!AD62</f>
        <v>50</v>
      </c>
      <c r="AF52" s="249">
        <f>'V rok'!AE62</f>
        <v>2</v>
      </c>
    </row>
    <row r="53" spans="1:32" ht="24.75" customHeight="1">
      <c r="A53" s="717"/>
      <c r="B53" s="249" t="s">
        <v>224</v>
      </c>
      <c r="C53" s="243" t="str">
        <f>'V rok'!B63</f>
        <v>Znaczenie profili genetycznych w leczeniu onkologicznym</v>
      </c>
      <c r="D53" s="244" t="str">
        <f>'V rok'!C63</f>
        <v>0912-7LEK-F43-Z</v>
      </c>
      <c r="E53" s="245"/>
      <c r="F53" s="246">
        <f>'V rok'!E63</f>
        <v>9</v>
      </c>
      <c r="G53" s="247"/>
      <c r="H53" s="248">
        <f>'V rok'!G63</f>
        <v>10</v>
      </c>
      <c r="I53" s="249">
        <f>'V rok'!H63</f>
        <v>15</v>
      </c>
      <c r="J53" s="249">
        <f>'V rok'!I63</f>
        <v>15</v>
      </c>
      <c r="K53" s="249">
        <f>'V rok'!J63</f>
        <v>10</v>
      </c>
      <c r="L53" s="249"/>
      <c r="M53" s="249"/>
      <c r="N53" s="249"/>
      <c r="O53" s="249"/>
      <c r="P53" s="247">
        <f>'V rok'!O63</f>
        <v>2</v>
      </c>
      <c r="Q53" s="248"/>
      <c r="R53" s="249"/>
      <c r="S53" s="249"/>
      <c r="T53" s="249"/>
      <c r="U53" s="249"/>
      <c r="V53" s="249"/>
      <c r="W53" s="249"/>
      <c r="X53" s="249"/>
      <c r="Y53" s="247"/>
      <c r="Z53" s="248">
        <f>'V rok'!Y63</f>
        <v>25</v>
      </c>
      <c r="AA53" s="249">
        <f>'V rok'!Z63</f>
        <v>10</v>
      </c>
      <c r="AB53" s="249">
        <f>'V rok'!AA63</f>
        <v>15</v>
      </c>
      <c r="AC53" s="249"/>
      <c r="AD53" s="249"/>
      <c r="AE53" s="249">
        <f>'V rok'!AD63</f>
        <v>50</v>
      </c>
      <c r="AF53" s="249">
        <f>'V rok'!AE63</f>
        <v>2</v>
      </c>
    </row>
    <row r="54" spans="1:32" ht="24.75" customHeight="1" thickBot="1">
      <c r="A54" s="717"/>
      <c r="B54" s="249" t="s">
        <v>225</v>
      </c>
      <c r="C54" s="361" t="str">
        <f>'V rok'!B64</f>
        <v>Chirurgia bariatryczna</v>
      </c>
      <c r="D54" s="277" t="str">
        <f>'V rok'!C64</f>
        <v>0912-7LEK-F44-C</v>
      </c>
      <c r="E54" s="278"/>
      <c r="F54" s="279">
        <f>'V rok'!E64</f>
        <v>9</v>
      </c>
      <c r="G54" s="280"/>
      <c r="H54" s="281">
        <f>'V rok'!G64</f>
        <v>10</v>
      </c>
      <c r="I54" s="282">
        <f>'V rok'!H64</f>
        <v>15</v>
      </c>
      <c r="J54" s="282"/>
      <c r="K54" s="282"/>
      <c r="L54" s="282"/>
      <c r="M54" s="282"/>
      <c r="N54" s="282"/>
      <c r="O54" s="282"/>
      <c r="P54" s="280">
        <f>'V rok'!O64</f>
        <v>2</v>
      </c>
      <c r="Q54" s="281"/>
      <c r="R54" s="282"/>
      <c r="S54" s="282"/>
      <c r="T54" s="282"/>
      <c r="U54" s="282"/>
      <c r="V54" s="282"/>
      <c r="W54" s="282"/>
      <c r="X54" s="282"/>
      <c r="Y54" s="280"/>
      <c r="Z54" s="281">
        <f>'V rok'!Y64</f>
        <v>25</v>
      </c>
      <c r="AA54" s="282">
        <f>'V rok'!Z64</f>
        <v>10</v>
      </c>
      <c r="AB54" s="282"/>
      <c r="AC54" s="282"/>
      <c r="AD54" s="282"/>
      <c r="AE54" s="282">
        <f>'V rok'!AD64</f>
        <v>50</v>
      </c>
      <c r="AF54" s="282">
        <f>'V rok'!AE64</f>
        <v>2</v>
      </c>
    </row>
    <row r="55" spans="1:32" ht="24.75" customHeight="1">
      <c r="A55" s="717"/>
      <c r="B55" s="249" t="s">
        <v>226</v>
      </c>
      <c r="C55" s="283" t="str">
        <f>'V rok'!B65</f>
        <v>Psychiatria dorosłych</v>
      </c>
      <c r="D55" s="284" t="str">
        <f>'V rok'!C65</f>
        <v>0912-7LEK-F45-P</v>
      </c>
      <c r="E55" s="285"/>
      <c r="F55" s="286">
        <f>'V rok'!E65</f>
        <v>9</v>
      </c>
      <c r="G55" s="287"/>
      <c r="H55" s="288">
        <f>'V rok'!G65</f>
        <v>0</v>
      </c>
      <c r="I55" s="289">
        <f>'V rok'!H65</f>
        <v>0</v>
      </c>
      <c r="J55" s="289"/>
      <c r="K55" s="289"/>
      <c r="L55" s="289"/>
      <c r="M55" s="289"/>
      <c r="N55" s="289"/>
      <c r="O55" s="289"/>
      <c r="P55" s="290">
        <f>'V rok'!O65</f>
        <v>1</v>
      </c>
      <c r="Q55" s="285"/>
      <c r="R55" s="289"/>
      <c r="S55" s="289"/>
      <c r="T55" s="289"/>
      <c r="U55" s="289"/>
      <c r="V55" s="289"/>
      <c r="W55" s="289"/>
      <c r="X55" s="289"/>
      <c r="Y55" s="287"/>
      <c r="Z55" s="288">
        <f>'V rok'!Y65</f>
        <v>15</v>
      </c>
      <c r="AA55" s="289">
        <f>'V rok'!Z65</f>
        <v>0</v>
      </c>
      <c r="AB55" s="289"/>
      <c r="AC55" s="289"/>
      <c r="AD55" s="289"/>
      <c r="AE55" s="289">
        <f>'V rok'!AD65</f>
        <v>25</v>
      </c>
      <c r="AF55" s="289">
        <f>'V rok'!AE65</f>
        <v>1</v>
      </c>
    </row>
    <row r="56" spans="1:32" ht="24.75" customHeight="1">
      <c r="A56" s="717"/>
      <c r="B56" s="249" t="s">
        <v>227</v>
      </c>
      <c r="C56" s="358" t="s">
        <v>272</v>
      </c>
      <c r="D56" s="244" t="str">
        <f>'V rok'!C66</f>
        <v>0912-7LEK-F46-B</v>
      </c>
      <c r="E56" s="245"/>
      <c r="F56" s="246">
        <f>'V rok'!E66</f>
        <v>10</v>
      </c>
      <c r="G56" s="247"/>
      <c r="H56" s="248">
        <f>'V rok'!G66</f>
        <v>0</v>
      </c>
      <c r="I56" s="249">
        <f>'V rok'!H66</f>
        <v>0</v>
      </c>
      <c r="J56" s="249"/>
      <c r="K56" s="249"/>
      <c r="L56" s="249"/>
      <c r="M56" s="249"/>
      <c r="N56" s="249"/>
      <c r="O56" s="249"/>
      <c r="P56" s="255">
        <f>'V rok'!O66</f>
        <v>0</v>
      </c>
      <c r="Q56" s="245"/>
      <c r="R56" s="249"/>
      <c r="S56" s="249"/>
      <c r="T56" s="249"/>
      <c r="U56" s="249"/>
      <c r="V56" s="249"/>
      <c r="W56" s="249"/>
      <c r="X56" s="249"/>
      <c r="Y56" s="247"/>
      <c r="Z56" s="248">
        <f>'V rok'!Y66</f>
        <v>15</v>
      </c>
      <c r="AA56" s="249">
        <f>'V rok'!Z66</f>
        <v>15</v>
      </c>
      <c r="AB56" s="249"/>
      <c r="AC56" s="249"/>
      <c r="AD56" s="249"/>
      <c r="AE56" s="249">
        <f>'V rok'!AD66</f>
        <v>25</v>
      </c>
      <c r="AF56" s="249">
        <f>'V rok'!AE66</f>
        <v>1</v>
      </c>
    </row>
    <row r="57" spans="1:32" ht="24.75" customHeight="1">
      <c r="A57" s="717"/>
      <c r="B57" s="249" t="s">
        <v>228</v>
      </c>
      <c r="C57" s="358" t="str">
        <f>'V rok'!B67</f>
        <v>Metodyka pisania prac naukowych</v>
      </c>
      <c r="D57" s="244" t="str">
        <f>'V rok'!C67</f>
        <v>0912-7LEK-F47-M</v>
      </c>
      <c r="E57" s="245"/>
      <c r="F57" s="246">
        <f>'V rok'!E67</f>
        <v>9</v>
      </c>
      <c r="G57" s="247"/>
      <c r="H57" s="248">
        <f>'V rok'!G67</f>
        <v>0</v>
      </c>
      <c r="I57" s="249">
        <f>'V rok'!H67</f>
        <v>0</v>
      </c>
      <c r="J57" s="249"/>
      <c r="K57" s="249"/>
      <c r="L57" s="249"/>
      <c r="M57" s="249"/>
      <c r="N57" s="249"/>
      <c r="O57" s="249"/>
      <c r="P57" s="255">
        <f>'V rok'!O67</f>
        <v>1</v>
      </c>
      <c r="Q57" s="245"/>
      <c r="R57" s="249"/>
      <c r="S57" s="249"/>
      <c r="T57" s="249"/>
      <c r="U57" s="249"/>
      <c r="V57" s="249"/>
      <c r="W57" s="249"/>
      <c r="X57" s="249"/>
      <c r="Y57" s="247"/>
      <c r="Z57" s="248">
        <f>'V rok'!Y67</f>
        <v>15</v>
      </c>
      <c r="AA57" s="249">
        <f>'V rok'!Z67</f>
        <v>0</v>
      </c>
      <c r="AB57" s="249"/>
      <c r="AC57" s="249"/>
      <c r="AD57" s="249"/>
      <c r="AE57" s="249">
        <f>'V rok'!AD67</f>
        <v>25</v>
      </c>
      <c r="AF57" s="249">
        <f>'V rok'!AE67</f>
        <v>1</v>
      </c>
    </row>
    <row r="58" spans="1:32" ht="24.75" customHeight="1">
      <c r="A58" s="717"/>
      <c r="B58" s="249" t="s">
        <v>229</v>
      </c>
      <c r="C58" s="358" t="str">
        <f>'V rok'!B68</f>
        <v>Choroby metaboliczne</v>
      </c>
      <c r="D58" s="244" t="str">
        <f>'V rok'!C68</f>
        <v>0912-7LEK-F48-C</v>
      </c>
      <c r="E58" s="245"/>
      <c r="F58" s="246">
        <f>'V rok'!E68</f>
        <v>9</v>
      </c>
      <c r="G58" s="247"/>
      <c r="H58" s="248"/>
      <c r="I58" s="249"/>
      <c r="J58" s="249"/>
      <c r="K58" s="249"/>
      <c r="L58" s="249"/>
      <c r="M58" s="249"/>
      <c r="N58" s="249"/>
      <c r="O58" s="249"/>
      <c r="P58" s="255"/>
      <c r="Q58" s="245">
        <f>'V rok'!P68</f>
        <v>0</v>
      </c>
      <c r="R58" s="249">
        <f>'V rok'!Q68</f>
        <v>0</v>
      </c>
      <c r="S58" s="249"/>
      <c r="T58" s="249"/>
      <c r="U58" s="249"/>
      <c r="V58" s="249"/>
      <c r="W58" s="249"/>
      <c r="X58" s="249"/>
      <c r="Y58" s="247">
        <f>'V rok'!X68</f>
        <v>0</v>
      </c>
      <c r="Z58" s="248">
        <f>'V rok'!Y68</f>
        <v>15</v>
      </c>
      <c r="AA58" s="249">
        <f>'V rok'!Z68</f>
        <v>0</v>
      </c>
      <c r="AB58" s="249"/>
      <c r="AC58" s="249"/>
      <c r="AD58" s="249"/>
      <c r="AE58" s="249">
        <f>'V rok'!AD68</f>
        <v>25</v>
      </c>
      <c r="AF58" s="249">
        <f>'V rok'!AE68</f>
        <v>1</v>
      </c>
    </row>
    <row r="59" spans="1:32" ht="24.75" customHeight="1">
      <c r="A59" s="717"/>
      <c r="B59" s="249" t="s">
        <v>230</v>
      </c>
      <c r="C59" s="243" t="str">
        <f>'V rok'!B69</f>
        <v>Farmakogenetyka</v>
      </c>
      <c r="D59" s="244" t="str">
        <f>'V rok'!C69</f>
        <v>0912-7LEK-F49-F</v>
      </c>
      <c r="E59" s="245"/>
      <c r="F59" s="246">
        <f>'V rok'!E69</f>
        <v>10</v>
      </c>
      <c r="G59" s="247"/>
      <c r="H59" s="248"/>
      <c r="I59" s="249"/>
      <c r="J59" s="249"/>
      <c r="K59" s="249"/>
      <c r="L59" s="249"/>
      <c r="M59" s="249"/>
      <c r="N59" s="249"/>
      <c r="O59" s="249"/>
      <c r="P59" s="255"/>
      <c r="Q59" s="245">
        <f>'V rok'!P69</f>
        <v>15</v>
      </c>
      <c r="R59" s="249">
        <f>'V rok'!Q69</f>
        <v>10</v>
      </c>
      <c r="S59" s="249"/>
      <c r="T59" s="249"/>
      <c r="U59" s="249"/>
      <c r="V59" s="249"/>
      <c r="W59" s="249"/>
      <c r="X59" s="249"/>
      <c r="Y59" s="247">
        <f>'V rok'!X69</f>
        <v>1</v>
      </c>
      <c r="Z59" s="248">
        <f>'V rok'!Y69</f>
        <v>15</v>
      </c>
      <c r="AA59" s="249">
        <f>'V rok'!Z69</f>
        <v>15</v>
      </c>
      <c r="AB59" s="249"/>
      <c r="AC59" s="249"/>
      <c r="AD59" s="249"/>
      <c r="AE59" s="249">
        <f>'V rok'!AD69</f>
        <v>25</v>
      </c>
      <c r="AF59" s="249">
        <f>'V rok'!AE69</f>
        <v>1</v>
      </c>
    </row>
    <row r="60" spans="1:32" ht="24.75" customHeight="1">
      <c r="A60" s="717"/>
      <c r="B60" s="249" t="s">
        <v>231</v>
      </c>
      <c r="C60" s="243" t="str">
        <f>'V rok'!B70</f>
        <v>Psychiatria dzieci i młodzieży</v>
      </c>
      <c r="D60" s="244" t="str">
        <f>'V rok'!C70</f>
        <v>0912-7LEK-F50-P</v>
      </c>
      <c r="E60" s="245"/>
      <c r="F60" s="246">
        <f>'V rok'!E70</f>
        <v>9</v>
      </c>
      <c r="G60" s="247"/>
      <c r="H60" s="248"/>
      <c r="I60" s="249"/>
      <c r="J60" s="249"/>
      <c r="K60" s="249"/>
      <c r="L60" s="249"/>
      <c r="M60" s="249"/>
      <c r="N60" s="249"/>
      <c r="O60" s="249"/>
      <c r="P60" s="255"/>
      <c r="Q60" s="245">
        <f>'V rok'!P70</f>
        <v>0</v>
      </c>
      <c r="R60" s="249">
        <f>'V rok'!Q70</f>
        <v>0</v>
      </c>
      <c r="S60" s="249"/>
      <c r="T60" s="249"/>
      <c r="U60" s="249"/>
      <c r="V60" s="249"/>
      <c r="W60" s="249"/>
      <c r="X60" s="249"/>
      <c r="Y60" s="247">
        <f>'V rok'!X70</f>
        <v>0</v>
      </c>
      <c r="Z60" s="248">
        <f>'V rok'!Y70</f>
        <v>15</v>
      </c>
      <c r="AA60" s="249">
        <f>'V rok'!Z70</f>
        <v>0</v>
      </c>
      <c r="AB60" s="249"/>
      <c r="AC60" s="249"/>
      <c r="AD60" s="249"/>
      <c r="AE60" s="249">
        <f>'V rok'!AD70</f>
        <v>25</v>
      </c>
      <c r="AF60" s="249">
        <f>'V rok'!AE70</f>
        <v>1</v>
      </c>
    </row>
    <row r="61" spans="1:32" ht="24.75" customHeight="1">
      <c r="A61" s="716"/>
      <c r="B61" s="249" t="s">
        <v>232</v>
      </c>
      <c r="C61" s="243" t="str">
        <f>'V rok'!B71</f>
        <v>Radiologia w pediatrii</v>
      </c>
      <c r="D61" s="244" t="str">
        <f>'V rok'!C71</f>
        <v>0912-7LEK-F51-R</v>
      </c>
      <c r="E61" s="245"/>
      <c r="F61" s="246">
        <f>'V rok'!E71</f>
        <v>9</v>
      </c>
      <c r="G61" s="247"/>
      <c r="H61" s="248"/>
      <c r="I61" s="249"/>
      <c r="J61" s="249"/>
      <c r="K61" s="249"/>
      <c r="L61" s="249"/>
      <c r="M61" s="249"/>
      <c r="N61" s="249"/>
      <c r="O61" s="249"/>
      <c r="P61" s="255"/>
      <c r="Q61" s="245">
        <f>'V rok'!P71</f>
        <v>0</v>
      </c>
      <c r="R61" s="249">
        <f>'V rok'!Q71</f>
        <v>0</v>
      </c>
      <c r="S61" s="249"/>
      <c r="T61" s="249"/>
      <c r="U61" s="249"/>
      <c r="V61" s="249"/>
      <c r="W61" s="249"/>
      <c r="X61" s="249"/>
      <c r="Y61" s="247">
        <f>'V rok'!X71</f>
        <v>0</v>
      </c>
      <c r="Z61" s="248">
        <f>'V rok'!Y71</f>
        <v>15</v>
      </c>
      <c r="AA61" s="249">
        <f>'V rok'!Z71</f>
        <v>0</v>
      </c>
      <c r="AB61" s="249"/>
      <c r="AC61" s="249"/>
      <c r="AD61" s="249"/>
      <c r="AE61" s="249">
        <f>'V rok'!AD71</f>
        <v>25</v>
      </c>
      <c r="AF61" s="249">
        <f>'V rok'!AE71</f>
        <v>1</v>
      </c>
    </row>
    <row r="62" spans="1:32" ht="196.5" customHeight="1">
      <c r="A62" s="259" t="s">
        <v>162</v>
      </c>
      <c r="B62" s="249" t="s">
        <v>233</v>
      </c>
      <c r="C62" s="254" t="s">
        <v>265</v>
      </c>
      <c r="D62" s="244" t="str">
        <f>'V rok'!C73</f>
        <v>0912-7LEK-F53-Z</v>
      </c>
      <c r="E62" s="245"/>
      <c r="F62" s="246" t="str">
        <f>'V rok'!E73</f>
        <v>9-10</v>
      </c>
      <c r="G62" s="247"/>
      <c r="H62" s="248">
        <f>'V rok'!G73</f>
        <v>0</v>
      </c>
      <c r="I62" s="249">
        <f>'V rok'!H73</f>
        <v>0</v>
      </c>
      <c r="J62" s="249">
        <f>'V rok'!I73</f>
        <v>30</v>
      </c>
      <c r="K62" s="249">
        <f>'V rok'!J73</f>
        <v>20</v>
      </c>
      <c r="L62" s="249"/>
      <c r="M62" s="249"/>
      <c r="N62" s="249"/>
      <c r="O62" s="249"/>
      <c r="P62" s="247">
        <f>'V rok'!O73</f>
        <v>2</v>
      </c>
      <c r="Q62" s="248"/>
      <c r="R62" s="249"/>
      <c r="S62" s="249">
        <f>'V rok'!R73</f>
        <v>30</v>
      </c>
      <c r="T62" s="249">
        <f>'V rok'!S73</f>
        <v>20</v>
      </c>
      <c r="U62" s="249"/>
      <c r="V62" s="249"/>
      <c r="W62" s="249"/>
      <c r="X62" s="249"/>
      <c r="Y62" s="247">
        <f>'V rok'!X73</f>
        <v>2</v>
      </c>
      <c r="Z62" s="248">
        <f>'V rok'!Y73</f>
        <v>60</v>
      </c>
      <c r="AA62" s="249">
        <f>'V rok'!Z73</f>
        <v>0</v>
      </c>
      <c r="AB62" s="249">
        <f>'V rok'!AA73</f>
        <v>60</v>
      </c>
      <c r="AC62" s="249"/>
      <c r="AD62" s="249"/>
      <c r="AE62" s="249">
        <f>'V rok'!AD73</f>
        <v>100</v>
      </c>
      <c r="AF62" s="249">
        <f>'V rok'!AE73</f>
        <v>4</v>
      </c>
    </row>
    <row r="63" spans="1:32" ht="204" customHeight="1">
      <c r="A63" s="257" t="s">
        <v>196</v>
      </c>
      <c r="B63" s="249" t="s">
        <v>234</v>
      </c>
      <c r="C63" s="254" t="s">
        <v>264</v>
      </c>
      <c r="D63" s="264" t="e">
        <f>#REF!</f>
        <v>#REF!</v>
      </c>
      <c r="E63" s="245"/>
      <c r="F63" s="249" t="e">
        <f>#REF!</f>
        <v>#REF!</v>
      </c>
      <c r="G63" s="247"/>
      <c r="H63" s="248" t="e">
        <f>#REF!</f>
        <v>#REF!</v>
      </c>
      <c r="I63" s="249" t="e">
        <f>#REF!</f>
        <v>#REF!</v>
      </c>
      <c r="J63" s="249" t="e">
        <f>#REF!</f>
        <v>#REF!</v>
      </c>
      <c r="K63" s="249" t="e">
        <f>#REF!</f>
        <v>#REF!</v>
      </c>
      <c r="L63" s="249"/>
      <c r="M63" s="249"/>
      <c r="N63" s="249"/>
      <c r="O63" s="249"/>
      <c r="P63" s="255" t="e">
        <f>#REF!</f>
        <v>#REF!</v>
      </c>
      <c r="Q63" s="245"/>
      <c r="R63" s="249"/>
      <c r="S63" s="249" t="e">
        <f>#REF!</f>
        <v>#REF!</v>
      </c>
      <c r="T63" s="249" t="e">
        <f>#REF!</f>
        <v>#REF!</v>
      </c>
      <c r="U63" s="249"/>
      <c r="V63" s="249"/>
      <c r="W63" s="249"/>
      <c r="X63" s="249"/>
      <c r="Y63" s="247" t="e">
        <f>#REF!</f>
        <v>#REF!</v>
      </c>
      <c r="Z63" s="248" t="e">
        <f>#REF!</f>
        <v>#REF!</v>
      </c>
      <c r="AA63" s="249" t="e">
        <f>#REF!</f>
        <v>#REF!</v>
      </c>
      <c r="AB63" s="249" t="e">
        <f>#REF!</f>
        <v>#REF!</v>
      </c>
      <c r="AC63" s="249"/>
      <c r="AD63" s="249"/>
      <c r="AE63" s="249" t="e">
        <f>#REF!</f>
        <v>#REF!</v>
      </c>
      <c r="AF63" s="249" t="e">
        <f>#REF!</f>
        <v>#REF!</v>
      </c>
    </row>
    <row r="64" spans="1:32"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  <c r="AA64" s="226"/>
      <c r="AB64" s="226"/>
      <c r="AC64" s="226"/>
      <c r="AD64" s="226"/>
      <c r="AE64" s="226"/>
      <c r="AF64" s="226"/>
    </row>
  </sheetData>
  <mergeCells count="37">
    <mergeCell ref="B41:AF41"/>
    <mergeCell ref="B31:AF31"/>
    <mergeCell ref="B23:AF23"/>
    <mergeCell ref="B14:AF14"/>
    <mergeCell ref="H3:I5"/>
    <mergeCell ref="J3:K5"/>
    <mergeCell ref="L3:M5"/>
    <mergeCell ref="Y3:Y6"/>
    <mergeCell ref="W3:X5"/>
    <mergeCell ref="U3:V5"/>
    <mergeCell ref="S3:T5"/>
    <mergeCell ref="Q3:R5"/>
    <mergeCell ref="P3:P6"/>
    <mergeCell ref="B7:AF7"/>
    <mergeCell ref="N3:O5"/>
    <mergeCell ref="E5:E6"/>
    <mergeCell ref="AD3:AD6"/>
    <mergeCell ref="AE3:AE6"/>
    <mergeCell ref="AF3:AF6"/>
    <mergeCell ref="C1:AF1"/>
    <mergeCell ref="B2:G2"/>
    <mergeCell ref="H2:AF2"/>
    <mergeCell ref="B3:B6"/>
    <mergeCell ref="C3:C6"/>
    <mergeCell ref="D3:D6"/>
    <mergeCell ref="E3:G4"/>
    <mergeCell ref="Z3:Z6"/>
    <mergeCell ref="F5:F6"/>
    <mergeCell ref="G5:G6"/>
    <mergeCell ref="AA3:AA6"/>
    <mergeCell ref="AB3:AB6"/>
    <mergeCell ref="AC3:AC6"/>
    <mergeCell ref="A7:A13"/>
    <mergeCell ref="A14:A21"/>
    <mergeCell ref="A23:A30"/>
    <mergeCell ref="A31:A40"/>
    <mergeCell ref="A41:A61"/>
  </mergeCells>
  <pageMargins left="0.23622047244094491" right="0.23622047244094491" top="0.74803149606299213" bottom="0.74803149606299213" header="0.31496062992125984" footer="0.31496062992125984"/>
  <pageSetup paperSize="9" scale="58" fitToHeight="0" orientation="landscape" r:id="rId1"/>
  <rowBreaks count="1" manualBreakCount="1">
    <brk id="30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17</vt:i4>
      </vt:variant>
    </vt:vector>
  </HeadingPairs>
  <TitlesOfParts>
    <vt:vector size="28" baseType="lpstr">
      <vt:lpstr>I rok</vt:lpstr>
      <vt:lpstr>II rok</vt:lpstr>
      <vt:lpstr>III rok</vt:lpstr>
      <vt:lpstr>IV rok</vt:lpstr>
      <vt:lpstr>V rok</vt:lpstr>
      <vt:lpstr>VI rok</vt:lpstr>
      <vt:lpstr>RAZEM</vt:lpstr>
      <vt:lpstr> razem plan</vt:lpstr>
      <vt:lpstr>FAKULTETY </vt:lpstr>
      <vt:lpstr>KRAUM</vt:lpstr>
      <vt:lpstr>FAKULTETY</vt:lpstr>
      <vt:lpstr>KRAUM!_Toc382231539</vt:lpstr>
      <vt:lpstr>KRAUM!_Toc382231550</vt:lpstr>
      <vt:lpstr>KRAUM!_Toc382231561</vt:lpstr>
      <vt:lpstr>' razem plan'!Obszar_wydruku</vt:lpstr>
      <vt:lpstr>'I rok'!Obszar_wydruku</vt:lpstr>
      <vt:lpstr>'II rok'!Obszar_wydruku</vt:lpstr>
      <vt:lpstr>'III rok'!Obszar_wydruku</vt:lpstr>
      <vt:lpstr>'IV rok'!Obszar_wydruku</vt:lpstr>
      <vt:lpstr>'V rok'!Obszar_wydruku</vt:lpstr>
      <vt:lpstr>FAKULTETY!Tytuły_wydruku</vt:lpstr>
      <vt:lpstr>'FAKULTETY '!Tytuły_wydruku</vt:lpstr>
      <vt:lpstr>'I rok'!Tytuły_wydruku</vt:lpstr>
      <vt:lpstr>'II rok'!Tytuły_wydruku</vt:lpstr>
      <vt:lpstr>'III rok'!Tytuły_wydruku</vt:lpstr>
      <vt:lpstr>'IV rok'!Tytuły_wydruku</vt:lpstr>
      <vt:lpstr>RAZEM!Tytuły_wydruku</vt:lpstr>
      <vt:lpstr>'V rok'!Tytuły_wydruku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Gaweł</cp:lastModifiedBy>
  <cp:lastPrinted>2019-11-29T08:18:49Z</cp:lastPrinted>
  <dcterms:created xsi:type="dcterms:W3CDTF">2010-12-06T08:38:47Z</dcterms:created>
  <dcterms:modified xsi:type="dcterms:W3CDTF">2023-10-20T09:42:22Z</dcterms:modified>
</cp:coreProperties>
</file>